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0" windowWidth="12520" windowHeight="8860" tabRatio="136" firstSheet="1" activeTab="1"/>
  </bookViews>
  <sheets>
    <sheet name="Sheet1" sheetId="1" r:id="rId1"/>
    <sheet name="A" sheetId="2" r:id="rId2"/>
  </sheets>
  <definedNames>
    <definedName name="_xlnm.Print_Area" localSheetId="1">'A'!$A$3:$GP$69</definedName>
    <definedName name="_xlnm.Print_Area">'A'!$D$3:$GP$69</definedName>
    <definedName name="_xlnm.Print_Titles" localSheetId="1">'A'!$A:$A,'A'!$3:$6</definedName>
    <definedName name="_xlnm.Print_Titles">#N/A</definedName>
  </definedNames>
  <calcPr fullCalcOnLoad="1"/>
</workbook>
</file>

<file path=xl/comments2.xml><?xml version="1.0" encoding="utf-8"?>
<comments xmlns="http://schemas.openxmlformats.org/spreadsheetml/2006/main">
  <authors>
    <author>KW</author>
    <author>Michael Esposito</author>
  </authors>
  <commentList>
    <comment ref="DO56" authorId="0">
      <text>
        <r>
          <rPr>
            <b/>
            <sz val="8"/>
            <rFont val="Tahoma"/>
            <family val="2"/>
          </rPr>
          <t>KW:</t>
        </r>
        <r>
          <rPr>
            <sz val="8"/>
            <rFont val="Tahoma"/>
            <family val="2"/>
          </rPr>
          <t xml:space="preserve">
</t>
        </r>
      </text>
    </comment>
    <comment ref="GA68" authorId="1">
      <text>
        <r>
          <rPr>
            <b/>
            <sz val="9"/>
            <rFont val="Tahoma"/>
            <family val="2"/>
          </rPr>
          <t>Michael Esposito:</t>
        </r>
        <r>
          <rPr>
            <sz val="9"/>
            <rFont val="Tahoma"/>
            <family val="2"/>
          </rPr>
          <t xml:space="preserve">
</t>
        </r>
      </text>
    </comment>
    <comment ref="EG8" authorId="1">
      <text>
        <r>
          <rPr>
            <b/>
            <sz val="9"/>
            <rFont val="Tahoma"/>
            <family val="2"/>
          </rPr>
          <t>Michael Esposito: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<sst xmlns="http://schemas.openxmlformats.org/spreadsheetml/2006/main" count="1016" uniqueCount="342">
  <si>
    <t>INCOME</t>
  </si>
  <si>
    <t>Maintenance / Common Charges</t>
  </si>
  <si>
    <t>Less: Abatements</t>
  </si>
  <si>
    <t>Electric</t>
  </si>
  <si>
    <t>Cable</t>
  </si>
  <si>
    <t>Late Fees</t>
  </si>
  <si>
    <t>Parking</t>
  </si>
  <si>
    <t>Laundry</t>
  </si>
  <si>
    <t>Interest / Investment</t>
  </si>
  <si>
    <t>Transfer Fees</t>
  </si>
  <si>
    <t>Moving Fees</t>
  </si>
  <si>
    <t>Sublet Fees</t>
  </si>
  <si>
    <t>Storage Fees</t>
  </si>
  <si>
    <t>Other Income</t>
  </si>
  <si>
    <t>TOTAL INCOME</t>
  </si>
  <si>
    <t>EXPENSES</t>
  </si>
  <si>
    <t>Ground Rent</t>
  </si>
  <si>
    <t>Real Estate Taxes / PILOT / BID</t>
  </si>
  <si>
    <t>Less: Refund</t>
  </si>
  <si>
    <t>Payroll</t>
  </si>
  <si>
    <t>Payroll Taxes</t>
  </si>
  <si>
    <t>Pension &amp; Welfare</t>
  </si>
  <si>
    <t>Workers Comp. Insurance</t>
  </si>
  <si>
    <t>Uniforms</t>
  </si>
  <si>
    <t>Payroll Processing</t>
  </si>
  <si>
    <t>Gas &amp; Electric</t>
  </si>
  <si>
    <t>Heating</t>
  </si>
  <si>
    <t>Water &amp; Sewer</t>
  </si>
  <si>
    <t>Building Supplies</t>
  </si>
  <si>
    <t>Building Repairs &amp; Maintenance</t>
  </si>
  <si>
    <t>Elevator Repairs &amp; Maintenance</t>
  </si>
  <si>
    <t>Recreation Facilities</t>
  </si>
  <si>
    <t>Security Services</t>
  </si>
  <si>
    <t>Insurance</t>
  </si>
  <si>
    <t>Management Fee</t>
  </si>
  <si>
    <t>Legal</t>
  </si>
  <si>
    <t>Accounting</t>
  </si>
  <si>
    <t>Other Professional</t>
  </si>
  <si>
    <t>Corporation Tax</t>
  </si>
  <si>
    <t>Office &amp; Administration</t>
  </si>
  <si>
    <t>Bad Debts (Recovery)</t>
  </si>
  <si>
    <t>TOTAL EXPENSES</t>
  </si>
  <si>
    <t>EXCESS(DEFICIT)</t>
  </si>
  <si>
    <t>Tax Deduction %</t>
  </si>
  <si>
    <t>Debt per Unit</t>
  </si>
  <si>
    <t>Mortgagee</t>
  </si>
  <si>
    <t>Working Capital</t>
  </si>
  <si>
    <t>Working Capital Per Unit</t>
  </si>
  <si>
    <t>MAN</t>
  </si>
  <si>
    <t>CONDO</t>
  </si>
  <si>
    <t xml:space="preserve"> </t>
  </si>
  <si>
    <t>E. Village</t>
  </si>
  <si>
    <t>4 Units</t>
  </si>
  <si>
    <t>E. 22nd St.</t>
  </si>
  <si>
    <t>E. 82nd St.</t>
  </si>
  <si>
    <t>COOP</t>
  </si>
  <si>
    <t>8 Units</t>
  </si>
  <si>
    <t>JPM</t>
  </si>
  <si>
    <t>BKLYN</t>
  </si>
  <si>
    <t>Park Slope</t>
  </si>
  <si>
    <t>W. 13th St.</t>
  </si>
  <si>
    <t>9 Units</t>
  </si>
  <si>
    <t>10 Units</t>
  </si>
  <si>
    <t>Tribeca</t>
  </si>
  <si>
    <t>13 Units</t>
  </si>
  <si>
    <t>Fifth Ave.</t>
  </si>
  <si>
    <t>HSBC</t>
  </si>
  <si>
    <t>E. 16th St.</t>
  </si>
  <si>
    <t>14 Units</t>
  </si>
  <si>
    <t>COND-OP</t>
  </si>
  <si>
    <t>18 Units</t>
  </si>
  <si>
    <t>NCB</t>
  </si>
  <si>
    <t>SOHO</t>
  </si>
  <si>
    <t>20 Units</t>
  </si>
  <si>
    <t>Park Ave.</t>
  </si>
  <si>
    <t>E. 20th St.</t>
  </si>
  <si>
    <t>21 Units</t>
  </si>
  <si>
    <t>E. 71st St.</t>
  </si>
  <si>
    <t>22 Units</t>
  </si>
  <si>
    <t>Gr. Village</t>
  </si>
  <si>
    <t>E. 83rd St.</t>
  </si>
  <si>
    <t>W. 115th St.</t>
  </si>
  <si>
    <t>24 Units</t>
  </si>
  <si>
    <t>25 Units</t>
  </si>
  <si>
    <t>28 Units</t>
  </si>
  <si>
    <t>31 Units</t>
  </si>
  <si>
    <t>E. 74th St.</t>
  </si>
  <si>
    <t>32 Units</t>
  </si>
  <si>
    <t>W. 64th St.</t>
  </si>
  <si>
    <t>E. 72nd St.</t>
  </si>
  <si>
    <t>33 Units</t>
  </si>
  <si>
    <t>36 Units</t>
  </si>
  <si>
    <t>E. 84th St.</t>
  </si>
  <si>
    <t>Central Pk So</t>
  </si>
  <si>
    <t>37 Units</t>
  </si>
  <si>
    <t>W. 82nd St.</t>
  </si>
  <si>
    <t>38 Units</t>
  </si>
  <si>
    <t>W. 71st St.</t>
  </si>
  <si>
    <t>40 Units</t>
  </si>
  <si>
    <t>W. 50th St.</t>
  </si>
  <si>
    <t>Grand Army Pl</t>
  </si>
  <si>
    <t>41 Units</t>
  </si>
  <si>
    <t>W. 93rd St.</t>
  </si>
  <si>
    <t>42 Units</t>
  </si>
  <si>
    <t>45 Units</t>
  </si>
  <si>
    <t>W. 26th St.</t>
  </si>
  <si>
    <t>46 Units</t>
  </si>
  <si>
    <t>E. 49th St.</t>
  </si>
  <si>
    <t>49 Units</t>
  </si>
  <si>
    <t>E. 52nd St.</t>
  </si>
  <si>
    <t>52 Units</t>
  </si>
  <si>
    <t>E. 75th St.</t>
  </si>
  <si>
    <t>W. 21st St.</t>
  </si>
  <si>
    <t>E. 79th St.</t>
  </si>
  <si>
    <t>53 Units</t>
  </si>
  <si>
    <t>54 Units</t>
  </si>
  <si>
    <t>Sutton Pl.</t>
  </si>
  <si>
    <t>55 Units</t>
  </si>
  <si>
    <t>W. 110th St.</t>
  </si>
  <si>
    <t>E. 88th St.</t>
  </si>
  <si>
    <t>59 Units</t>
  </si>
  <si>
    <t>West End Ave.</t>
  </si>
  <si>
    <t>60 Units</t>
  </si>
  <si>
    <t>E. 66th St.</t>
  </si>
  <si>
    <t>62 Units</t>
  </si>
  <si>
    <t>E. 59th St.</t>
  </si>
  <si>
    <t>E. 96th St.</t>
  </si>
  <si>
    <t>64 Units</t>
  </si>
  <si>
    <t>W. 56th St.</t>
  </si>
  <si>
    <t>66 Units</t>
  </si>
  <si>
    <t>W. 19th St.</t>
  </si>
  <si>
    <t>67 Units</t>
  </si>
  <si>
    <t>E. 80th St.</t>
  </si>
  <si>
    <t>Bklyn Heights</t>
  </si>
  <si>
    <t>70 Units</t>
  </si>
  <si>
    <t>W. 96th St.</t>
  </si>
  <si>
    <t>72 Units</t>
  </si>
  <si>
    <t>E. 78th St.</t>
  </si>
  <si>
    <t>74 Units</t>
  </si>
  <si>
    <t>W. 12th St.</t>
  </si>
  <si>
    <t>75 Units</t>
  </si>
  <si>
    <t>East End Ave.</t>
  </si>
  <si>
    <t>76 Units</t>
  </si>
  <si>
    <t>Gramercy Pk</t>
  </si>
  <si>
    <t>77 Units</t>
  </si>
  <si>
    <t>81 Units</t>
  </si>
  <si>
    <t>82 Units</t>
  </si>
  <si>
    <t>W. 104th St.</t>
  </si>
  <si>
    <t>83 Units</t>
  </si>
  <si>
    <t>84 Units</t>
  </si>
  <si>
    <t>E. 51st St.</t>
  </si>
  <si>
    <t>87 Units</t>
  </si>
  <si>
    <t>91 Units</t>
  </si>
  <si>
    <t>W. 90th St.</t>
  </si>
  <si>
    <t>W. 77th St.</t>
  </si>
  <si>
    <t>92 Units</t>
  </si>
  <si>
    <t>Riverside Dr.</t>
  </si>
  <si>
    <t>93 Units</t>
  </si>
  <si>
    <t>E. 65th St.</t>
  </si>
  <si>
    <t>95 Units</t>
  </si>
  <si>
    <t>W. 80th St.</t>
  </si>
  <si>
    <t>E. 86th St.</t>
  </si>
  <si>
    <t>101 Units</t>
  </si>
  <si>
    <t>E. 37th St.</t>
  </si>
  <si>
    <t>102 Units</t>
  </si>
  <si>
    <t>103 Units</t>
  </si>
  <si>
    <t>Battery Park</t>
  </si>
  <si>
    <t>W. 89th St.</t>
  </si>
  <si>
    <t>108 Units</t>
  </si>
  <si>
    <t>114 Units</t>
  </si>
  <si>
    <t>W. 16th St.</t>
  </si>
  <si>
    <t>119 Units</t>
  </si>
  <si>
    <t>124 Units</t>
  </si>
  <si>
    <t>CONDOP</t>
  </si>
  <si>
    <t>QUEENS</t>
  </si>
  <si>
    <t>Kew Gardens</t>
  </si>
  <si>
    <t>129 Units</t>
  </si>
  <si>
    <t>NJ</t>
  </si>
  <si>
    <t>Ft. Lee</t>
  </si>
  <si>
    <t>131 Units</t>
  </si>
  <si>
    <t>132 Units</t>
  </si>
  <si>
    <t>135 Units</t>
  </si>
  <si>
    <t>137 Units</t>
  </si>
  <si>
    <t>Central Pk W</t>
  </si>
  <si>
    <t>138 Units</t>
  </si>
  <si>
    <t>E. 92nd St.</t>
  </si>
  <si>
    <t>142 Units</t>
  </si>
  <si>
    <t>E. 9th St.</t>
  </si>
  <si>
    <t>W. 92nd St.</t>
  </si>
  <si>
    <t>146 Units</t>
  </si>
  <si>
    <t>149 Units</t>
  </si>
  <si>
    <t>157 Units</t>
  </si>
  <si>
    <t>E. 56th St.</t>
  </si>
  <si>
    <t>162 Units</t>
  </si>
  <si>
    <t>Sheeps. Bay</t>
  </si>
  <si>
    <t>W. 57th St.</t>
  </si>
  <si>
    <t>E. 25th St.</t>
  </si>
  <si>
    <t>E. 90th St.</t>
  </si>
  <si>
    <t>182 Units</t>
  </si>
  <si>
    <t>E. 34th St.</t>
  </si>
  <si>
    <t>191 Units</t>
  </si>
  <si>
    <t>192 Units</t>
  </si>
  <si>
    <t>E. 24th St.</t>
  </si>
  <si>
    <t>204 Units</t>
  </si>
  <si>
    <t>E. 10th St.</t>
  </si>
  <si>
    <t>E. 64th St.</t>
  </si>
  <si>
    <t>205 Units</t>
  </si>
  <si>
    <t>Financial Dist</t>
  </si>
  <si>
    <t>E. 60th St.</t>
  </si>
  <si>
    <t>234 Units</t>
  </si>
  <si>
    <t>239 Units</t>
  </si>
  <si>
    <t>242 Units</t>
  </si>
  <si>
    <t>248 Units</t>
  </si>
  <si>
    <t>261 Units</t>
  </si>
  <si>
    <t>E. 21st St.</t>
  </si>
  <si>
    <t>262 Units</t>
  </si>
  <si>
    <t>283 Units</t>
  </si>
  <si>
    <t>E. 69th St.</t>
  </si>
  <si>
    <t>287 Units</t>
  </si>
  <si>
    <t>E. 93rd St.</t>
  </si>
  <si>
    <t>294 Units</t>
  </si>
  <si>
    <t>309 Units</t>
  </si>
  <si>
    <t>W. 43rd St.</t>
  </si>
  <si>
    <t>310 Units</t>
  </si>
  <si>
    <t>340 Units</t>
  </si>
  <si>
    <t>382 Units</t>
  </si>
  <si>
    <t>W. 73rd St.</t>
  </si>
  <si>
    <t>400 Units</t>
  </si>
  <si>
    <t>414 Units</t>
  </si>
  <si>
    <t>415 Units</t>
  </si>
  <si>
    <t>E. 63rd St.</t>
  </si>
  <si>
    <t>492 Units</t>
  </si>
  <si>
    <t>W. 72nd St.</t>
  </si>
  <si>
    <t>493 Units</t>
  </si>
  <si>
    <t>E. 40th St.</t>
  </si>
  <si>
    <t>587 Units</t>
  </si>
  <si>
    <t>628 Units</t>
  </si>
  <si>
    <t>Union Sq.</t>
  </si>
  <si>
    <t>645 Units</t>
  </si>
  <si>
    <t>Soho</t>
  </si>
  <si>
    <t>186 Units</t>
  </si>
  <si>
    <t>W. 59th St.</t>
  </si>
  <si>
    <t>96 Units</t>
  </si>
  <si>
    <t>257 Units</t>
  </si>
  <si>
    <t>Wash. Sq Pk</t>
  </si>
  <si>
    <t>Fifth Ave</t>
  </si>
  <si>
    <t>165 Units</t>
  </si>
  <si>
    <t>NYCB</t>
  </si>
  <si>
    <t>Downtown</t>
  </si>
  <si>
    <t>220 Units</t>
  </si>
  <si>
    <t>78 Units</t>
  </si>
  <si>
    <t>Ft. Wash</t>
  </si>
  <si>
    <t>249 Units</t>
  </si>
  <si>
    <t>Commercial Rent / Common Charges</t>
  </si>
  <si>
    <t>Astoria</t>
  </si>
  <si>
    <t>290 Units</t>
  </si>
  <si>
    <t>348 Units</t>
  </si>
  <si>
    <t>7 Units</t>
  </si>
  <si>
    <t>121 Units</t>
  </si>
  <si>
    <t>63 Units</t>
  </si>
  <si>
    <t>WEA</t>
  </si>
  <si>
    <t>219 Units</t>
  </si>
  <si>
    <t>550 Units</t>
  </si>
  <si>
    <t>Signature</t>
  </si>
  <si>
    <t>189 Units</t>
  </si>
  <si>
    <t>Dime</t>
  </si>
  <si>
    <t>Monthly Maint. / Charges Per Unit</t>
  </si>
  <si>
    <t>% Increase from Prior Year</t>
  </si>
  <si>
    <t>Operating Assessments</t>
  </si>
  <si>
    <t>410 Units</t>
  </si>
  <si>
    <t>19 Units</t>
  </si>
  <si>
    <t>34 Units</t>
  </si>
  <si>
    <t>E. 74th St</t>
  </si>
  <si>
    <t>W. 88th St.</t>
  </si>
  <si>
    <t>Bklyn Hgts</t>
  </si>
  <si>
    <t>W. 12th St</t>
  </si>
  <si>
    <t>Other Payroll Costs</t>
  </si>
  <si>
    <t>98 Units</t>
  </si>
  <si>
    <t>E. 23rd St.</t>
  </si>
  <si>
    <t>W. 24th St.</t>
  </si>
  <si>
    <t>15 Units</t>
  </si>
  <si>
    <t>Santander</t>
  </si>
  <si>
    <t>Morgan Stanley</t>
  </si>
  <si>
    <t>Prudential</t>
  </si>
  <si>
    <t>90 Units</t>
  </si>
  <si>
    <t>134 Units</t>
  </si>
  <si>
    <t>48 Units</t>
  </si>
  <si>
    <t>30 Units</t>
  </si>
  <si>
    <t>166 Units</t>
  </si>
  <si>
    <t>Customers</t>
  </si>
  <si>
    <t>E. 12th St.</t>
  </si>
  <si>
    <t>Supt. Rent / Parking</t>
  </si>
  <si>
    <t>First Republic</t>
  </si>
  <si>
    <t>Mortgages &amp; Loans (P &amp; I)</t>
  </si>
  <si>
    <t>Investors</t>
  </si>
  <si>
    <t>W. 20th St.</t>
  </si>
  <si>
    <t>130 Units</t>
  </si>
  <si>
    <t>172 Units</t>
  </si>
  <si>
    <t>Valley</t>
  </si>
  <si>
    <t xml:space="preserve">TD </t>
  </si>
  <si>
    <t>TD</t>
  </si>
  <si>
    <t>E. 11th St.</t>
  </si>
  <si>
    <t>5 Units</t>
  </si>
  <si>
    <t>Principal</t>
  </si>
  <si>
    <t>23 Units</t>
  </si>
  <si>
    <t>E. 62nd St.</t>
  </si>
  <si>
    <t>BNY</t>
  </si>
  <si>
    <t>Guardian</t>
  </si>
  <si>
    <t>Farmington</t>
  </si>
  <si>
    <t>552 Units</t>
  </si>
  <si>
    <t>Apple</t>
  </si>
  <si>
    <t>196 Units</t>
  </si>
  <si>
    <t>E. 38th St.</t>
  </si>
  <si>
    <t>127 Units</t>
  </si>
  <si>
    <t>104 Units</t>
  </si>
  <si>
    <t>Cap One</t>
  </si>
  <si>
    <t>AmeriSphere</t>
  </si>
  <si>
    <t>145 Units</t>
  </si>
  <si>
    <t>W. 48/49th St.</t>
  </si>
  <si>
    <t>110 Units</t>
  </si>
  <si>
    <t>35 Units</t>
  </si>
  <si>
    <t>Flushing</t>
  </si>
  <si>
    <t>Darien</t>
  </si>
  <si>
    <t>Sterling</t>
  </si>
  <si>
    <t>115 Units</t>
  </si>
  <si>
    <t>E. 35th St.</t>
  </si>
  <si>
    <t>Beech St Capital</t>
  </si>
  <si>
    <t>Popular</t>
  </si>
  <si>
    <t>Sterling National</t>
  </si>
  <si>
    <t>Berkadia</t>
  </si>
  <si>
    <t>420 Units</t>
  </si>
  <si>
    <t>W. 9th St.</t>
  </si>
  <si>
    <t>Sterling Natl</t>
  </si>
  <si>
    <t>Hunt Mtge</t>
  </si>
  <si>
    <t>Sullivan St</t>
  </si>
  <si>
    <t>W. 52nd St.</t>
  </si>
  <si>
    <t>109 Units</t>
  </si>
  <si>
    <t>69 Units</t>
  </si>
  <si>
    <t>W. 76th St.</t>
  </si>
  <si>
    <t>E. 61th St.</t>
  </si>
  <si>
    <t>200 E 61 St</t>
  </si>
  <si>
    <t>216 Units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</si>
</sst>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0_);\(#,##0.0000\)"/>
    <numFmt numFmtId="166" formatCode="0.0%"/>
    <numFmt numFmtId="167" formatCode="0.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.4"/>
      <color indexed="12"/>
      <name val="Arial"/>
      <family val="2"/>
    </font>
    <font>
      <u val="single"/>
      <sz val="11.4"/>
      <color indexed="36"/>
      <name val="Arial"/>
      <family val="2"/>
    </font>
    <font>
      <sz val="10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10" xfId="0" applyNumberFormat="1" applyFont="1" applyFill="1" applyBorder="1" applyAlignment="1">
      <alignment/>
    </xf>
    <xf numFmtId="37" fontId="4" fillId="0" borderId="10" xfId="0" applyNumberFormat="1" applyFont="1" applyFill="1" applyBorder="1" applyAlignment="1">
      <alignment horizontal="fill"/>
    </xf>
    <xf numFmtId="3" fontId="4" fillId="0" borderId="10" xfId="0" applyNumberFormat="1" applyFont="1" applyFill="1" applyBorder="1" applyAlignment="1">
      <alignment horizontal="fill"/>
    </xf>
    <xf numFmtId="1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shrinkToFit="1"/>
    </xf>
    <xf numFmtId="3" fontId="0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shrinkToFit="1"/>
    </xf>
    <xf numFmtId="3" fontId="4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 horizontal="fill"/>
    </xf>
    <xf numFmtId="3" fontId="0" fillId="0" borderId="10" xfId="0" applyNumberFormat="1" applyFont="1" applyFill="1" applyBorder="1" applyAlignment="1">
      <alignment horizontal="fill"/>
    </xf>
    <xf numFmtId="3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9" fontId="0" fillId="0" borderId="0" xfId="0" applyNumberFormat="1" applyFont="1" applyFill="1" applyAlignment="1">
      <alignment horizontal="right"/>
    </xf>
    <xf numFmtId="9" fontId="4" fillId="0" borderId="0" xfId="0" applyNumberFormat="1" applyFont="1" applyFill="1" applyAlignment="1">
      <alignment horizontal="right" shrinkToFit="1"/>
    </xf>
    <xf numFmtId="3" fontId="4" fillId="0" borderId="0" xfId="0" applyNumberFormat="1" applyFont="1" applyFill="1" applyAlignment="1">
      <alignment shrinkToFit="1"/>
    </xf>
    <xf numFmtId="3" fontId="0" fillId="0" borderId="0" xfId="0" applyNumberFormat="1" applyFont="1" applyFill="1" applyAlignment="1">
      <alignment horizontal="right" shrinkToFit="1"/>
    </xf>
    <xf numFmtId="3" fontId="0" fillId="0" borderId="0" xfId="0" applyNumberFormat="1" applyFont="1" applyFill="1" applyAlignment="1">
      <alignment horizontal="center" shrinkToFit="1"/>
    </xf>
    <xf numFmtId="3" fontId="11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shrinkToFit="1"/>
    </xf>
    <xf numFmtId="37" fontId="4" fillId="0" borderId="0" xfId="0" applyNumberFormat="1" applyFont="1" applyFill="1" applyAlignment="1">
      <alignment horizontal="center" shrinkToFit="1"/>
    </xf>
    <xf numFmtId="3" fontId="4" fillId="0" borderId="11" xfId="0" applyNumberFormat="1" applyFont="1" applyFill="1" applyBorder="1" applyAlignment="1">
      <alignment horizontal="center" shrinkToFi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shrinkToFit="1"/>
    </xf>
    <xf numFmtId="37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7" fontId="4" fillId="0" borderId="12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fill"/>
    </xf>
    <xf numFmtId="37" fontId="0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fill"/>
    </xf>
    <xf numFmtId="3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shrinkToFit="1"/>
    </xf>
    <xf numFmtId="37" fontId="4" fillId="0" borderId="0" xfId="0" applyNumberFormat="1" applyFont="1" applyFill="1" applyAlignment="1">
      <alignment horizontal="right" shrinkToFi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" sqref="F10"/>
    </sheetView>
  </sheetViews>
  <sheetFormatPr defaultColWidth="11.5546875" defaultRowHeight="15"/>
  <cols>
    <col min="1" max="16384" width="8.6640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0"/>
  <sheetViews>
    <sheetView tabSelected="1" showOutlineSymbols="0" zoomScale="108" zoomScaleNormal="108" zoomScalePageLayoutView="0" workbookViewId="0" topLeftCell="A3">
      <pane xSplit="1" ySplit="4" topLeftCell="EA57" activePane="bottomRight" state="frozen"/>
      <selection pane="topLeft" activeCell="A3" sqref="A3"/>
      <selection pane="topRight" activeCell="B3" sqref="B3"/>
      <selection pane="bottomLeft" activeCell="A8" sqref="A8"/>
      <selection pane="bottomRight" activeCell="EB70" sqref="EB70"/>
    </sheetView>
  </sheetViews>
  <sheetFormatPr defaultColWidth="11.88671875" defaultRowHeight="15"/>
  <cols>
    <col min="1" max="1" width="32.5546875" style="4" customWidth="1"/>
    <col min="2" max="31" width="11.88671875" style="4" customWidth="1"/>
    <col min="32" max="33" width="11.99609375" style="4" bestFit="1" customWidth="1"/>
    <col min="34" max="47" width="11.88671875" style="4" customWidth="1"/>
    <col min="48" max="48" width="11.88671875" style="4" bestFit="1" customWidth="1"/>
    <col min="49" max="50" width="11.88671875" style="4" customWidth="1"/>
    <col min="51" max="51" width="12.99609375" style="4" customWidth="1"/>
    <col min="52" max="53" width="11.88671875" style="4" customWidth="1"/>
    <col min="54" max="55" width="11.88671875" style="13" customWidth="1"/>
    <col min="56" max="65" width="11.88671875" style="4" customWidth="1"/>
    <col min="66" max="66" width="11.88671875" style="4" bestFit="1" customWidth="1"/>
    <col min="67" max="72" width="11.88671875" style="4" customWidth="1"/>
    <col min="73" max="74" width="12.88671875" style="4" customWidth="1"/>
    <col min="75" max="87" width="11.88671875" style="4" customWidth="1"/>
    <col min="88" max="90" width="12.88671875" style="4" customWidth="1"/>
    <col min="91" max="91" width="11.88671875" style="4" customWidth="1"/>
    <col min="92" max="92" width="12.88671875" style="4" customWidth="1"/>
    <col min="93" max="93" width="13.88671875" style="4" customWidth="1"/>
    <col min="94" max="101" width="11.88671875" style="4" customWidth="1"/>
    <col min="102" max="102" width="11.88671875" style="39" customWidth="1"/>
    <col min="103" max="113" width="11.88671875" style="4" customWidth="1"/>
    <col min="114" max="115" width="12.88671875" style="2" customWidth="1"/>
    <col min="116" max="126" width="11.88671875" style="4" customWidth="1"/>
    <col min="127" max="128" width="12.88671875" style="4" customWidth="1"/>
    <col min="129" max="129" width="11.88671875" style="4" customWidth="1"/>
    <col min="130" max="130" width="12.88671875" style="4" customWidth="1"/>
    <col min="131" max="136" width="11.88671875" style="4" customWidth="1"/>
    <col min="137" max="139" width="12.88671875" style="4" customWidth="1"/>
    <col min="140" max="142" width="11.88671875" style="4" customWidth="1"/>
    <col min="143" max="143" width="12.88671875" style="4" customWidth="1"/>
    <col min="144" max="151" width="11.88671875" style="4" customWidth="1"/>
    <col min="152" max="152" width="11.88671875" style="13" customWidth="1"/>
    <col min="153" max="157" width="11.88671875" style="4" customWidth="1"/>
    <col min="158" max="158" width="12.88671875" style="4" customWidth="1"/>
    <col min="159" max="165" width="11.88671875" style="4" customWidth="1"/>
    <col min="166" max="166" width="12.10546875" style="4" bestFit="1" customWidth="1"/>
    <col min="167" max="167" width="12.88671875" style="4" customWidth="1"/>
    <col min="168" max="171" width="11.88671875" style="4" customWidth="1"/>
    <col min="172" max="172" width="12.88671875" style="4" customWidth="1"/>
    <col min="173" max="177" width="11.88671875" style="4" customWidth="1"/>
    <col min="178" max="178" width="11.88671875" style="39" customWidth="1"/>
    <col min="179" max="179" width="11.88671875" style="4" customWidth="1"/>
    <col min="180" max="180" width="12.88671875" style="4" customWidth="1"/>
    <col min="181" max="181" width="11.88671875" style="4" customWidth="1"/>
    <col min="182" max="182" width="12.88671875" style="4" customWidth="1"/>
    <col min="183" max="191" width="11.88671875" style="4" customWidth="1"/>
    <col min="192" max="192" width="11.88671875" style="13" customWidth="1"/>
    <col min="193" max="16384" width="11.88671875" style="4" customWidth="1"/>
  </cols>
  <sheetData>
    <row r="1" spans="54:192" s="5" customFormat="1" ht="15">
      <c r="BB1" s="11"/>
      <c r="BC1" s="11"/>
      <c r="CX1" s="32"/>
      <c r="DJ1" s="12"/>
      <c r="DK1" s="12"/>
      <c r="EV1" s="11"/>
      <c r="FV1" s="32"/>
      <c r="GJ1" s="11"/>
    </row>
    <row r="2" ht="15"/>
    <row r="3" spans="2:198" s="28" customFormat="1" ht="15">
      <c r="B3" s="14" t="s">
        <v>48</v>
      </c>
      <c r="C3" s="14" t="s">
        <v>48</v>
      </c>
      <c r="D3" s="14" t="s">
        <v>48</v>
      </c>
      <c r="E3" s="14" t="s">
        <v>48</v>
      </c>
      <c r="F3" s="14" t="s">
        <v>58</v>
      </c>
      <c r="G3" s="14" t="s">
        <v>48</v>
      </c>
      <c r="H3" s="14" t="s">
        <v>48</v>
      </c>
      <c r="I3" s="14" t="s">
        <v>48</v>
      </c>
      <c r="J3" s="14" t="s">
        <v>48</v>
      </c>
      <c r="K3" s="14" t="s">
        <v>48</v>
      </c>
      <c r="L3" s="14" t="s">
        <v>48</v>
      </c>
      <c r="M3" s="14" t="s">
        <v>58</v>
      </c>
      <c r="N3" s="14" t="s">
        <v>48</v>
      </c>
      <c r="O3" s="14" t="s">
        <v>48</v>
      </c>
      <c r="P3" s="14" t="s">
        <v>48</v>
      </c>
      <c r="Q3" s="14" t="s">
        <v>48</v>
      </c>
      <c r="R3" s="14" t="s">
        <v>48</v>
      </c>
      <c r="S3" s="14" t="s">
        <v>48</v>
      </c>
      <c r="T3" s="14" t="s">
        <v>48</v>
      </c>
      <c r="U3" s="14" t="s">
        <v>48</v>
      </c>
      <c r="V3" s="14" t="s">
        <v>48</v>
      </c>
      <c r="W3" s="14" t="s">
        <v>48</v>
      </c>
      <c r="X3" s="14" t="s">
        <v>48</v>
      </c>
      <c r="Y3" s="14" t="s">
        <v>48</v>
      </c>
      <c r="Z3" s="14" t="s">
        <v>48</v>
      </c>
      <c r="AA3" s="14" t="s">
        <v>48</v>
      </c>
      <c r="AB3" s="14" t="s">
        <v>48</v>
      </c>
      <c r="AC3" s="14" t="s">
        <v>48</v>
      </c>
      <c r="AD3" s="14" t="s">
        <v>48</v>
      </c>
      <c r="AE3" s="14" t="s">
        <v>48</v>
      </c>
      <c r="AF3" s="14" t="s">
        <v>48</v>
      </c>
      <c r="AG3" s="14" t="s">
        <v>48</v>
      </c>
      <c r="AH3" s="14" t="s">
        <v>48</v>
      </c>
      <c r="AI3" s="14" t="s">
        <v>48</v>
      </c>
      <c r="AJ3" s="14" t="s">
        <v>48</v>
      </c>
      <c r="AK3" s="14" t="s">
        <v>48</v>
      </c>
      <c r="AL3" s="14" t="s">
        <v>58</v>
      </c>
      <c r="AM3" s="14" t="s">
        <v>48</v>
      </c>
      <c r="AN3" s="14" t="s">
        <v>48</v>
      </c>
      <c r="AO3" s="14" t="s">
        <v>48</v>
      </c>
      <c r="AP3" s="14" t="s">
        <v>48</v>
      </c>
      <c r="AQ3" s="14" t="s">
        <v>48</v>
      </c>
      <c r="AR3" s="14" t="s">
        <v>48</v>
      </c>
      <c r="AS3" s="14" t="s">
        <v>48</v>
      </c>
      <c r="AT3" s="14" t="s">
        <v>48</v>
      </c>
      <c r="AU3" s="14" t="s">
        <v>48</v>
      </c>
      <c r="AV3" s="14" t="s">
        <v>48</v>
      </c>
      <c r="AW3" s="14" t="s">
        <v>48</v>
      </c>
      <c r="AX3" s="14" t="s">
        <v>48</v>
      </c>
      <c r="AY3" s="14" t="s">
        <v>58</v>
      </c>
      <c r="AZ3" s="14" t="s">
        <v>48</v>
      </c>
      <c r="BA3" s="14" t="s">
        <v>48</v>
      </c>
      <c r="BB3" s="11" t="s">
        <v>48</v>
      </c>
      <c r="BC3" s="30" t="s">
        <v>48</v>
      </c>
      <c r="BD3" s="14" t="s">
        <v>48</v>
      </c>
      <c r="BE3" s="14" t="s">
        <v>48</v>
      </c>
      <c r="BF3" s="14" t="s">
        <v>48</v>
      </c>
      <c r="BG3" s="14" t="s">
        <v>48</v>
      </c>
      <c r="BH3" s="14" t="s">
        <v>48</v>
      </c>
      <c r="BI3" s="14" t="s">
        <v>48</v>
      </c>
      <c r="BJ3" s="14" t="s">
        <v>48</v>
      </c>
      <c r="BK3" s="14" t="s">
        <v>48</v>
      </c>
      <c r="BL3" s="14" t="s">
        <v>48</v>
      </c>
      <c r="BM3" s="14" t="s">
        <v>48</v>
      </c>
      <c r="BN3" s="14" t="s">
        <v>48</v>
      </c>
      <c r="BO3" s="14" t="s">
        <v>48</v>
      </c>
      <c r="BP3" s="14" t="s">
        <v>48</v>
      </c>
      <c r="BQ3" s="14" t="s">
        <v>48</v>
      </c>
      <c r="BR3" s="14" t="s">
        <v>48</v>
      </c>
      <c r="BS3" s="14" t="s">
        <v>48</v>
      </c>
      <c r="BT3" s="14" t="s">
        <v>48</v>
      </c>
      <c r="BU3" s="14" t="s">
        <v>48</v>
      </c>
      <c r="BV3" s="14" t="s">
        <v>48</v>
      </c>
      <c r="BW3" s="14" t="s">
        <v>48</v>
      </c>
      <c r="BX3" s="14" t="s">
        <v>48</v>
      </c>
      <c r="BY3" s="14" t="s">
        <v>48</v>
      </c>
      <c r="BZ3" s="14" t="s">
        <v>48</v>
      </c>
      <c r="CA3" s="14" t="s">
        <v>48</v>
      </c>
      <c r="CB3" s="14" t="s">
        <v>48</v>
      </c>
      <c r="CC3" s="14" t="s">
        <v>48</v>
      </c>
      <c r="CD3" s="14" t="s">
        <v>48</v>
      </c>
      <c r="CE3" s="14" t="s">
        <v>48</v>
      </c>
      <c r="CF3" s="14" t="s">
        <v>48</v>
      </c>
      <c r="CG3" s="14" t="s">
        <v>58</v>
      </c>
      <c r="CH3" s="14" t="s">
        <v>48</v>
      </c>
      <c r="CI3" s="14" t="s">
        <v>48</v>
      </c>
      <c r="CJ3" s="14" t="s">
        <v>48</v>
      </c>
      <c r="CK3" s="14" t="s">
        <v>48</v>
      </c>
      <c r="CL3" s="14" t="s">
        <v>48</v>
      </c>
      <c r="CM3" s="14" t="s">
        <v>48</v>
      </c>
      <c r="CN3" s="14" t="s">
        <v>48</v>
      </c>
      <c r="CO3" s="14" t="s">
        <v>48</v>
      </c>
      <c r="CP3" s="14" t="s">
        <v>48</v>
      </c>
      <c r="CQ3" s="14" t="s">
        <v>48</v>
      </c>
      <c r="CR3" s="14" t="s">
        <v>48</v>
      </c>
      <c r="CS3" s="14" t="s">
        <v>48</v>
      </c>
      <c r="CT3" s="14" t="s">
        <v>48</v>
      </c>
      <c r="CU3" s="14" t="s">
        <v>48</v>
      </c>
      <c r="CV3" s="14" t="s">
        <v>48</v>
      </c>
      <c r="CW3" s="14" t="s">
        <v>48</v>
      </c>
      <c r="CX3" s="33" t="s">
        <v>48</v>
      </c>
      <c r="CY3" s="14" t="s">
        <v>48</v>
      </c>
      <c r="CZ3" s="14" t="s">
        <v>48</v>
      </c>
      <c r="DA3" s="14" t="s">
        <v>48</v>
      </c>
      <c r="DB3" s="14" t="s">
        <v>48</v>
      </c>
      <c r="DC3" s="14" t="s">
        <v>48</v>
      </c>
      <c r="DD3" s="14" t="s">
        <v>48</v>
      </c>
      <c r="DE3" s="14" t="s">
        <v>48</v>
      </c>
      <c r="DF3" s="14" t="s">
        <v>58</v>
      </c>
      <c r="DG3" s="14" t="s">
        <v>48</v>
      </c>
      <c r="DH3" s="14" t="s">
        <v>48</v>
      </c>
      <c r="DI3" s="14" t="s">
        <v>48</v>
      </c>
      <c r="DJ3" s="34" t="s">
        <v>48</v>
      </c>
      <c r="DK3" s="34" t="s">
        <v>48</v>
      </c>
      <c r="DL3" s="14" t="s">
        <v>48</v>
      </c>
      <c r="DM3" s="14" t="s">
        <v>48</v>
      </c>
      <c r="DN3" s="14" t="s">
        <v>48</v>
      </c>
      <c r="DO3" s="14" t="s">
        <v>48</v>
      </c>
      <c r="DP3" s="14" t="s">
        <v>48</v>
      </c>
      <c r="DQ3" s="14" t="s">
        <v>48</v>
      </c>
      <c r="DR3" s="14" t="s">
        <v>48</v>
      </c>
      <c r="DS3" s="14" t="s">
        <v>48</v>
      </c>
      <c r="DT3" s="14" t="s">
        <v>48</v>
      </c>
      <c r="DU3" s="14" t="s">
        <v>48</v>
      </c>
      <c r="DV3" s="14" t="s">
        <v>48</v>
      </c>
      <c r="DW3" s="14" t="s">
        <v>48</v>
      </c>
      <c r="DX3" s="14" t="s">
        <v>48</v>
      </c>
      <c r="DY3" s="14" t="s">
        <v>48</v>
      </c>
      <c r="DZ3" s="14" t="s">
        <v>48</v>
      </c>
      <c r="EA3" s="14" t="s">
        <v>48</v>
      </c>
      <c r="EB3" s="14" t="s">
        <v>48</v>
      </c>
      <c r="EC3" s="14" t="s">
        <v>174</v>
      </c>
      <c r="ED3" s="14" t="s">
        <v>48</v>
      </c>
      <c r="EE3" s="14" t="s">
        <v>48</v>
      </c>
      <c r="EF3" s="14" t="s">
        <v>177</v>
      </c>
      <c r="EG3" s="14" t="s">
        <v>58</v>
      </c>
      <c r="EH3" s="14" t="s">
        <v>48</v>
      </c>
      <c r="EI3" s="14" t="s">
        <v>48</v>
      </c>
      <c r="EJ3" s="14" t="s">
        <v>48</v>
      </c>
      <c r="EK3" s="14" t="s">
        <v>48</v>
      </c>
      <c r="EL3" s="14" t="s">
        <v>48</v>
      </c>
      <c r="EM3" s="14" t="s">
        <v>48</v>
      </c>
      <c r="EN3" s="14" t="s">
        <v>48</v>
      </c>
      <c r="EO3" s="14" t="s">
        <v>48</v>
      </c>
      <c r="EP3" s="14" t="s">
        <v>48</v>
      </c>
      <c r="EQ3" s="14" t="s">
        <v>48</v>
      </c>
      <c r="ER3" s="14" t="s">
        <v>48</v>
      </c>
      <c r="ES3" s="14" t="s">
        <v>48</v>
      </c>
      <c r="ET3" s="14" t="s">
        <v>48</v>
      </c>
      <c r="EU3" s="14" t="s">
        <v>48</v>
      </c>
      <c r="EV3" s="30" t="s">
        <v>48</v>
      </c>
      <c r="EW3" s="14" t="s">
        <v>48</v>
      </c>
      <c r="EX3" s="14" t="s">
        <v>48</v>
      </c>
      <c r="EY3" s="14" t="s">
        <v>48</v>
      </c>
      <c r="EZ3" s="14" t="s">
        <v>48</v>
      </c>
      <c r="FA3" s="14" t="s">
        <v>48</v>
      </c>
      <c r="FB3" s="14" t="s">
        <v>48</v>
      </c>
      <c r="FC3" s="14" t="s">
        <v>48</v>
      </c>
      <c r="FD3" s="14" t="s">
        <v>48</v>
      </c>
      <c r="FE3" s="14" t="s">
        <v>48</v>
      </c>
      <c r="FF3" s="5" t="s">
        <v>339</v>
      </c>
      <c r="FG3" s="14" t="s">
        <v>48</v>
      </c>
      <c r="FH3" s="14" t="s">
        <v>48</v>
      </c>
      <c r="FI3" s="14" t="s">
        <v>48</v>
      </c>
      <c r="FJ3" s="14" t="s">
        <v>58</v>
      </c>
      <c r="FK3" s="14" t="s">
        <v>48</v>
      </c>
      <c r="FL3" s="14" t="s">
        <v>48</v>
      </c>
      <c r="FM3" s="14" t="s">
        <v>48</v>
      </c>
      <c r="FN3" s="14" t="s">
        <v>48</v>
      </c>
      <c r="FO3" s="14" t="s">
        <v>48</v>
      </c>
      <c r="FP3" s="14" t="s">
        <v>48</v>
      </c>
      <c r="FQ3" s="14" t="s">
        <v>48</v>
      </c>
      <c r="FR3" s="14" t="s">
        <v>48</v>
      </c>
      <c r="FS3" s="14" t="s">
        <v>48</v>
      </c>
      <c r="FT3" s="14" t="s">
        <v>48</v>
      </c>
      <c r="FU3" s="14" t="s">
        <v>58</v>
      </c>
      <c r="FV3" s="33" t="s">
        <v>48</v>
      </c>
      <c r="FW3" s="14" t="s">
        <v>48</v>
      </c>
      <c r="FX3" s="14" t="s">
        <v>48</v>
      </c>
      <c r="FY3" s="14" t="s">
        <v>48</v>
      </c>
      <c r="FZ3" s="14" t="s">
        <v>48</v>
      </c>
      <c r="GA3" s="14" t="s">
        <v>48</v>
      </c>
      <c r="GB3" s="14" t="s">
        <v>48</v>
      </c>
      <c r="GC3" s="14" t="s">
        <v>48</v>
      </c>
      <c r="GD3" s="14" t="s">
        <v>48</v>
      </c>
      <c r="GE3" s="14" t="s">
        <v>48</v>
      </c>
      <c r="GF3" s="14" t="s">
        <v>48</v>
      </c>
      <c r="GG3" s="14" t="s">
        <v>48</v>
      </c>
      <c r="GH3" s="14" t="s">
        <v>48</v>
      </c>
      <c r="GI3" s="14" t="s">
        <v>48</v>
      </c>
      <c r="GJ3" s="30" t="s">
        <v>48</v>
      </c>
      <c r="GK3" s="14" t="s">
        <v>48</v>
      </c>
      <c r="GL3" s="14" t="s">
        <v>48</v>
      </c>
      <c r="GM3" s="14" t="s">
        <v>58</v>
      </c>
      <c r="GN3" s="14" t="s">
        <v>48</v>
      </c>
      <c r="GO3" s="14" t="s">
        <v>48</v>
      </c>
      <c r="GP3" s="14" t="s">
        <v>48</v>
      </c>
    </row>
    <row r="4" spans="2:198" s="28" customFormat="1" ht="15">
      <c r="B4" s="14" t="s">
        <v>51</v>
      </c>
      <c r="C4" s="14" t="s">
        <v>239</v>
      </c>
      <c r="D4" s="14" t="s">
        <v>53</v>
      </c>
      <c r="E4" s="14" t="s">
        <v>54</v>
      </c>
      <c r="F4" s="14" t="s">
        <v>59</v>
      </c>
      <c r="G4" s="14" t="s">
        <v>60</v>
      </c>
      <c r="H4" s="14" t="s">
        <v>51</v>
      </c>
      <c r="I4" s="14" t="s">
        <v>305</v>
      </c>
      <c r="J4" s="14" t="s">
        <v>86</v>
      </c>
      <c r="K4" s="14" t="s">
        <v>63</v>
      </c>
      <c r="L4" s="14" t="s">
        <v>65</v>
      </c>
      <c r="M4" s="14" t="s">
        <v>133</v>
      </c>
      <c r="N4" s="14" t="s">
        <v>67</v>
      </c>
      <c r="O4" s="14" t="s">
        <v>202</v>
      </c>
      <c r="P4" s="14" t="s">
        <v>187</v>
      </c>
      <c r="Q4" s="14" t="s">
        <v>279</v>
      </c>
      <c r="R4" s="14" t="s">
        <v>89</v>
      </c>
      <c r="S4" s="14" t="s">
        <v>207</v>
      </c>
      <c r="T4" s="14" t="s">
        <v>72</v>
      </c>
      <c r="U4" s="14" t="s">
        <v>51</v>
      </c>
      <c r="V4" s="14" t="s">
        <v>74</v>
      </c>
      <c r="W4" s="14" t="s">
        <v>75</v>
      </c>
      <c r="X4" s="14" t="s">
        <v>77</v>
      </c>
      <c r="Y4" s="14" t="s">
        <v>80</v>
      </c>
      <c r="Z4" s="14" t="s">
        <v>295</v>
      </c>
      <c r="AA4" s="14" t="s">
        <v>81</v>
      </c>
      <c r="AB4" s="14" t="s">
        <v>334</v>
      </c>
      <c r="AC4" s="14" t="s">
        <v>74</v>
      </c>
      <c r="AD4" s="14" t="s">
        <v>63</v>
      </c>
      <c r="AE4" s="14" t="s">
        <v>197</v>
      </c>
      <c r="AF4" s="14" t="s">
        <v>86</v>
      </c>
      <c r="AG4" s="14" t="s">
        <v>113</v>
      </c>
      <c r="AH4" s="14" t="s">
        <v>54</v>
      </c>
      <c r="AI4" s="14" t="s">
        <v>88</v>
      </c>
      <c r="AJ4" s="14" t="s">
        <v>74</v>
      </c>
      <c r="AK4" s="14" t="s">
        <v>89</v>
      </c>
      <c r="AL4" s="14" t="s">
        <v>274</v>
      </c>
      <c r="AM4" s="14" t="s">
        <v>97</v>
      </c>
      <c r="AN4" s="14" t="s">
        <v>63</v>
      </c>
      <c r="AO4" s="14" t="s">
        <v>119</v>
      </c>
      <c r="AP4" s="14" t="s">
        <v>74</v>
      </c>
      <c r="AQ4" s="14" t="s">
        <v>92</v>
      </c>
      <c r="AR4" s="14" t="s">
        <v>295</v>
      </c>
      <c r="AS4" s="14" t="s">
        <v>93</v>
      </c>
      <c r="AT4" s="14" t="s">
        <v>95</v>
      </c>
      <c r="AU4" s="14" t="s">
        <v>79</v>
      </c>
      <c r="AV4" s="14" t="s">
        <v>72</v>
      </c>
      <c r="AW4" s="14" t="s">
        <v>132</v>
      </c>
      <c r="AX4" s="14" t="s">
        <v>99</v>
      </c>
      <c r="AY4" s="14" t="s">
        <v>100</v>
      </c>
      <c r="AZ4" s="14" t="s">
        <v>74</v>
      </c>
      <c r="BA4" s="14" t="s">
        <v>92</v>
      </c>
      <c r="BB4" s="11" t="s">
        <v>275</v>
      </c>
      <c r="BC4" s="30" t="s">
        <v>102</v>
      </c>
      <c r="BD4" s="14" t="s">
        <v>63</v>
      </c>
      <c r="BE4" s="14" t="s">
        <v>63</v>
      </c>
      <c r="BF4" s="14" t="s">
        <v>105</v>
      </c>
      <c r="BG4" s="14" t="s">
        <v>107</v>
      </c>
      <c r="BH4" s="14" t="s">
        <v>74</v>
      </c>
      <c r="BI4" s="14" t="s">
        <v>77</v>
      </c>
      <c r="BJ4" s="14" t="s">
        <v>245</v>
      </c>
      <c r="BK4" s="14" t="s">
        <v>74</v>
      </c>
      <c r="BL4" s="14" t="s">
        <v>111</v>
      </c>
      <c r="BM4" s="14" t="s">
        <v>112</v>
      </c>
      <c r="BN4" s="14" t="s">
        <v>113</v>
      </c>
      <c r="BO4" s="14" t="s">
        <v>112</v>
      </c>
      <c r="BP4" s="14" t="s">
        <v>111</v>
      </c>
      <c r="BQ4" s="14" t="s">
        <v>74</v>
      </c>
      <c r="BR4" s="14" t="s">
        <v>118</v>
      </c>
      <c r="BS4" s="14" t="s">
        <v>119</v>
      </c>
      <c r="BT4" s="14" t="s">
        <v>260</v>
      </c>
      <c r="BU4" s="14" t="s">
        <v>113</v>
      </c>
      <c r="BV4" s="14" t="s">
        <v>161</v>
      </c>
      <c r="BW4" s="14" t="s">
        <v>123</v>
      </c>
      <c r="BX4" s="14" t="s">
        <v>125</v>
      </c>
      <c r="BY4" s="14" t="s">
        <v>74</v>
      </c>
      <c r="BZ4" s="14" t="s">
        <v>63</v>
      </c>
      <c r="CA4" s="14" t="s">
        <v>126</v>
      </c>
      <c r="CB4" s="14" t="s">
        <v>301</v>
      </c>
      <c r="CC4" s="14" t="s">
        <v>128</v>
      </c>
      <c r="CD4" s="14" t="s">
        <v>130</v>
      </c>
      <c r="CE4" s="14" t="s">
        <v>132</v>
      </c>
      <c r="CF4" s="14" t="s">
        <v>338</v>
      </c>
      <c r="CG4" s="14" t="s">
        <v>133</v>
      </c>
      <c r="CH4" s="14" t="s">
        <v>79</v>
      </c>
      <c r="CI4" s="14" t="s">
        <v>74</v>
      </c>
      <c r="CJ4" s="14" t="s">
        <v>135</v>
      </c>
      <c r="CK4" s="14" t="s">
        <v>121</v>
      </c>
      <c r="CL4" s="14" t="s">
        <v>80</v>
      </c>
      <c r="CM4" s="14" t="s">
        <v>139</v>
      </c>
      <c r="CN4" s="14" t="s">
        <v>141</v>
      </c>
      <c r="CO4" s="14" t="s">
        <v>74</v>
      </c>
      <c r="CP4" s="14" t="s">
        <v>65</v>
      </c>
      <c r="CQ4" s="14" t="s">
        <v>143</v>
      </c>
      <c r="CR4" s="14" t="s">
        <v>119</v>
      </c>
      <c r="CS4" s="14" t="s">
        <v>147</v>
      </c>
      <c r="CT4" s="14" t="s">
        <v>290</v>
      </c>
      <c r="CU4" s="14" t="s">
        <v>92</v>
      </c>
      <c r="CV4" s="14" t="s">
        <v>80</v>
      </c>
      <c r="CW4" s="14" t="s">
        <v>139</v>
      </c>
      <c r="CX4" s="33" t="s">
        <v>251</v>
      </c>
      <c r="CY4" s="14" t="s">
        <v>150</v>
      </c>
      <c r="CZ4" s="14" t="s">
        <v>187</v>
      </c>
      <c r="DA4" s="14" t="s">
        <v>74</v>
      </c>
      <c r="DB4" s="14" t="s">
        <v>153</v>
      </c>
      <c r="DC4" s="14" t="s">
        <v>160</v>
      </c>
      <c r="DD4" s="14" t="s">
        <v>154</v>
      </c>
      <c r="DE4" s="14" t="s">
        <v>273</v>
      </c>
      <c r="DF4" s="14" t="s">
        <v>59</v>
      </c>
      <c r="DG4" s="14" t="s">
        <v>156</v>
      </c>
      <c r="DH4" s="14" t="s">
        <v>158</v>
      </c>
      <c r="DI4" s="14" t="s">
        <v>121</v>
      </c>
      <c r="DJ4" s="34" t="s">
        <v>141</v>
      </c>
      <c r="DK4" s="34" t="s">
        <v>278</v>
      </c>
      <c r="DL4" s="14" t="s">
        <v>161</v>
      </c>
      <c r="DM4" s="14" t="s">
        <v>156</v>
      </c>
      <c r="DN4" s="14" t="s">
        <v>163</v>
      </c>
      <c r="DO4" s="14" t="s">
        <v>137</v>
      </c>
      <c r="DP4" s="14" t="s">
        <v>272</v>
      </c>
      <c r="DQ4" s="14" t="s">
        <v>116</v>
      </c>
      <c r="DR4" s="14" t="s">
        <v>107</v>
      </c>
      <c r="DS4" s="14" t="s">
        <v>74</v>
      </c>
      <c r="DT4" s="14" t="s">
        <v>167</v>
      </c>
      <c r="DU4" s="14" t="s">
        <v>335</v>
      </c>
      <c r="DV4" s="14" t="s">
        <v>318</v>
      </c>
      <c r="DW4" s="14" t="s">
        <v>93</v>
      </c>
      <c r="DX4" s="14" t="s">
        <v>305</v>
      </c>
      <c r="DY4" s="14" t="s">
        <v>170</v>
      </c>
      <c r="DZ4" s="14" t="s">
        <v>166</v>
      </c>
      <c r="EA4" s="14" t="s">
        <v>163</v>
      </c>
      <c r="EB4" s="14" t="s">
        <v>312</v>
      </c>
      <c r="EC4" s="14" t="s">
        <v>175</v>
      </c>
      <c r="ED4" s="14" t="s">
        <v>139</v>
      </c>
      <c r="EE4" s="14" t="s">
        <v>112</v>
      </c>
      <c r="EF4" s="14" t="s">
        <v>178</v>
      </c>
      <c r="EG4" s="14" t="s">
        <v>100</v>
      </c>
      <c r="EH4" s="14" t="s">
        <v>111</v>
      </c>
      <c r="EI4" s="14" t="s">
        <v>156</v>
      </c>
      <c r="EJ4" s="14" t="s">
        <v>79</v>
      </c>
      <c r="EK4" s="14" t="s">
        <v>183</v>
      </c>
      <c r="EL4" s="14" t="s">
        <v>185</v>
      </c>
      <c r="EM4" s="14" t="s">
        <v>187</v>
      </c>
      <c r="EN4" s="14" t="s">
        <v>188</v>
      </c>
      <c r="EO4" s="14" t="s">
        <v>132</v>
      </c>
      <c r="EP4" s="14" t="s">
        <v>143</v>
      </c>
      <c r="EQ4" s="14" t="s">
        <v>192</v>
      </c>
      <c r="ER4" s="14" t="s">
        <v>166</v>
      </c>
      <c r="ES4" s="14" t="s">
        <v>230</v>
      </c>
      <c r="ET4" s="14" t="s">
        <v>197</v>
      </c>
      <c r="EU4" s="14" t="s">
        <v>325</v>
      </c>
      <c r="EV4" s="30" t="s">
        <v>196</v>
      </c>
      <c r="EW4" s="14" t="s">
        <v>166</v>
      </c>
      <c r="EX4" s="14" t="s">
        <v>241</v>
      </c>
      <c r="EY4" s="14" t="s">
        <v>113</v>
      </c>
      <c r="EZ4" s="14" t="s">
        <v>199</v>
      </c>
      <c r="FA4" s="14" t="s">
        <v>113</v>
      </c>
      <c r="FB4" s="14" t="s">
        <v>204</v>
      </c>
      <c r="FC4" s="14" t="s">
        <v>202</v>
      </c>
      <c r="FD4" s="14" t="s">
        <v>205</v>
      </c>
      <c r="FE4" s="14" t="s">
        <v>207</v>
      </c>
      <c r="FF4" s="31" t="s">
        <v>340</v>
      </c>
      <c r="FG4" s="14" t="s">
        <v>208</v>
      </c>
      <c r="FH4" s="14" t="s">
        <v>207</v>
      </c>
      <c r="FI4" s="14" t="s">
        <v>166</v>
      </c>
      <c r="FJ4" s="14" t="s">
        <v>194</v>
      </c>
      <c r="FK4" s="14" t="s">
        <v>79</v>
      </c>
      <c r="FL4" s="14" t="s">
        <v>79</v>
      </c>
      <c r="FM4" s="14" t="s">
        <v>166</v>
      </c>
      <c r="FN4" s="14" t="s">
        <v>166</v>
      </c>
      <c r="FO4" s="14" t="s">
        <v>207</v>
      </c>
      <c r="FP4" s="14" t="s">
        <v>156</v>
      </c>
      <c r="FQ4" s="14" t="s">
        <v>195</v>
      </c>
      <c r="FR4" s="14" t="s">
        <v>214</v>
      </c>
      <c r="FS4" s="14" t="s">
        <v>217</v>
      </c>
      <c r="FT4" s="14" t="s">
        <v>109</v>
      </c>
      <c r="FU4" s="14" t="s">
        <v>194</v>
      </c>
      <c r="FV4" s="33" t="s">
        <v>219</v>
      </c>
      <c r="FW4" s="14" t="s">
        <v>166</v>
      </c>
      <c r="FX4" s="14" t="s">
        <v>93</v>
      </c>
      <c r="FY4" s="14" t="s">
        <v>222</v>
      </c>
      <c r="FZ4" s="14" t="s">
        <v>93</v>
      </c>
      <c r="GA4" s="14" t="s">
        <v>244</v>
      </c>
      <c r="GB4" s="14" t="s">
        <v>207</v>
      </c>
      <c r="GC4" s="14" t="s">
        <v>226</v>
      </c>
      <c r="GD4" s="14" t="s">
        <v>183</v>
      </c>
      <c r="GE4" s="14" t="s">
        <v>163</v>
      </c>
      <c r="GF4" s="14" t="s">
        <v>183</v>
      </c>
      <c r="GG4" s="14" t="s">
        <v>109</v>
      </c>
      <c r="GH4" s="14" t="s">
        <v>331</v>
      </c>
      <c r="GI4" s="14" t="s">
        <v>230</v>
      </c>
      <c r="GJ4" s="30" t="s">
        <v>232</v>
      </c>
      <c r="GK4" s="14" t="s">
        <v>123</v>
      </c>
      <c r="GL4" s="14" t="s">
        <v>166</v>
      </c>
      <c r="GM4" s="14" t="s">
        <v>248</v>
      </c>
      <c r="GN4" s="14" t="s">
        <v>234</v>
      </c>
      <c r="GO4" s="14" t="s">
        <v>192</v>
      </c>
      <c r="GP4" s="14" t="s">
        <v>237</v>
      </c>
    </row>
    <row r="5" spans="1:198" s="28" customFormat="1" ht="15">
      <c r="A5" s="28" t="s">
        <v>50</v>
      </c>
      <c r="B5" s="14" t="s">
        <v>49</v>
      </c>
      <c r="C5" s="14" t="s">
        <v>49</v>
      </c>
      <c r="D5" s="14" t="s">
        <v>49</v>
      </c>
      <c r="E5" s="14" t="s">
        <v>55</v>
      </c>
      <c r="F5" s="14" t="s">
        <v>55</v>
      </c>
      <c r="G5" s="14" t="s">
        <v>49</v>
      </c>
      <c r="H5" s="14" t="s">
        <v>49</v>
      </c>
      <c r="I5" s="14" t="s">
        <v>49</v>
      </c>
      <c r="J5" s="14" t="s">
        <v>49</v>
      </c>
      <c r="K5" s="14" t="s">
        <v>49</v>
      </c>
      <c r="L5" s="14" t="s">
        <v>55</v>
      </c>
      <c r="M5" s="14" t="s">
        <v>49</v>
      </c>
      <c r="N5" s="14" t="s">
        <v>69</v>
      </c>
      <c r="O5" s="14" t="s">
        <v>49</v>
      </c>
      <c r="P5" s="14" t="s">
        <v>49</v>
      </c>
      <c r="Q5" s="14" t="s">
        <v>49</v>
      </c>
      <c r="R5" s="14" t="s">
        <v>49</v>
      </c>
      <c r="S5" s="14" t="s">
        <v>49</v>
      </c>
      <c r="T5" s="14" t="s">
        <v>49</v>
      </c>
      <c r="U5" s="14" t="s">
        <v>49</v>
      </c>
      <c r="V5" s="14" t="s">
        <v>55</v>
      </c>
      <c r="W5" s="14" t="s">
        <v>49</v>
      </c>
      <c r="X5" s="14" t="s">
        <v>55</v>
      </c>
      <c r="Y5" s="14" t="s">
        <v>55</v>
      </c>
      <c r="Z5" s="14" t="s">
        <v>49</v>
      </c>
      <c r="AA5" s="14" t="s">
        <v>55</v>
      </c>
      <c r="AB5" s="14" t="s">
        <v>49</v>
      </c>
      <c r="AC5" s="14" t="s">
        <v>55</v>
      </c>
      <c r="AD5" s="14" t="s">
        <v>49</v>
      </c>
      <c r="AE5" s="14" t="s">
        <v>55</v>
      </c>
      <c r="AF5" s="14" t="s">
        <v>69</v>
      </c>
      <c r="AG5" s="14" t="s">
        <v>49</v>
      </c>
      <c r="AH5" s="14" t="s">
        <v>69</v>
      </c>
      <c r="AI5" s="14" t="s">
        <v>49</v>
      </c>
      <c r="AJ5" s="14" t="s">
        <v>49</v>
      </c>
      <c r="AK5" s="14" t="s">
        <v>49</v>
      </c>
      <c r="AL5" s="14" t="s">
        <v>49</v>
      </c>
      <c r="AM5" s="14" t="s">
        <v>55</v>
      </c>
      <c r="AN5" s="14" t="s">
        <v>69</v>
      </c>
      <c r="AO5" s="14" t="s">
        <v>55</v>
      </c>
      <c r="AP5" s="14" t="s">
        <v>55</v>
      </c>
      <c r="AQ5" s="14" t="s">
        <v>55</v>
      </c>
      <c r="AR5" s="14" t="s">
        <v>49</v>
      </c>
      <c r="AS5" s="14" t="s">
        <v>55</v>
      </c>
      <c r="AT5" s="14" t="s">
        <v>55</v>
      </c>
      <c r="AU5" s="14" t="s">
        <v>55</v>
      </c>
      <c r="AV5" s="14" t="s">
        <v>49</v>
      </c>
      <c r="AW5" s="14" t="s">
        <v>55</v>
      </c>
      <c r="AX5" s="14" t="s">
        <v>55</v>
      </c>
      <c r="AY5" s="14" t="s">
        <v>55</v>
      </c>
      <c r="AZ5" s="14" t="s">
        <v>55</v>
      </c>
      <c r="BA5" s="14" t="s">
        <v>55</v>
      </c>
      <c r="BB5" s="11" t="s">
        <v>49</v>
      </c>
      <c r="BC5" s="30" t="s">
        <v>55</v>
      </c>
      <c r="BD5" s="14" t="s">
        <v>55</v>
      </c>
      <c r="BE5" s="14" t="s">
        <v>55</v>
      </c>
      <c r="BF5" s="14" t="s">
        <v>55</v>
      </c>
      <c r="BG5" s="14" t="s">
        <v>55</v>
      </c>
      <c r="BH5" s="14" t="s">
        <v>55</v>
      </c>
      <c r="BI5" s="14" t="s">
        <v>55</v>
      </c>
      <c r="BJ5" s="14" t="s">
        <v>55</v>
      </c>
      <c r="BK5" s="14" t="s">
        <v>49</v>
      </c>
      <c r="BL5" s="14" t="s">
        <v>55</v>
      </c>
      <c r="BM5" s="14" t="s">
        <v>55</v>
      </c>
      <c r="BN5" s="14" t="s">
        <v>49</v>
      </c>
      <c r="BO5" s="14" t="s">
        <v>55</v>
      </c>
      <c r="BP5" s="14" t="s">
        <v>173</v>
      </c>
      <c r="BQ5" s="14" t="s">
        <v>55</v>
      </c>
      <c r="BR5" s="14" t="s">
        <v>49</v>
      </c>
      <c r="BS5" s="14" t="s">
        <v>55</v>
      </c>
      <c r="BT5" s="14" t="s">
        <v>55</v>
      </c>
      <c r="BU5" s="14" t="s">
        <v>55</v>
      </c>
      <c r="BV5" s="14" t="s">
        <v>49</v>
      </c>
      <c r="BW5" s="14" t="s">
        <v>55</v>
      </c>
      <c r="BX5" s="14" t="s">
        <v>49</v>
      </c>
      <c r="BY5" s="14" t="s">
        <v>55</v>
      </c>
      <c r="BZ5" s="14" t="s">
        <v>49</v>
      </c>
      <c r="CA5" s="14" t="s">
        <v>55</v>
      </c>
      <c r="CB5" s="14" t="s">
        <v>55</v>
      </c>
      <c r="CC5" s="14" t="s">
        <v>49</v>
      </c>
      <c r="CD5" s="14" t="s">
        <v>49</v>
      </c>
      <c r="CE5" s="14" t="s">
        <v>49</v>
      </c>
      <c r="CF5" s="14" t="s">
        <v>49</v>
      </c>
      <c r="CG5" s="14" t="s">
        <v>49</v>
      </c>
      <c r="CH5" s="14" t="s">
        <v>55</v>
      </c>
      <c r="CI5" s="14" t="s">
        <v>55</v>
      </c>
      <c r="CJ5" s="14" t="s">
        <v>55</v>
      </c>
      <c r="CK5" s="14" t="s">
        <v>55</v>
      </c>
      <c r="CL5" s="14" t="s">
        <v>55</v>
      </c>
      <c r="CM5" s="14" t="s">
        <v>55</v>
      </c>
      <c r="CN5" s="14" t="s">
        <v>55</v>
      </c>
      <c r="CO5" s="14" t="s">
        <v>55</v>
      </c>
      <c r="CP5" s="14" t="s">
        <v>55</v>
      </c>
      <c r="CQ5" s="14" t="s">
        <v>55</v>
      </c>
      <c r="CR5" s="14" t="s">
        <v>55</v>
      </c>
      <c r="CS5" s="14" t="s">
        <v>55</v>
      </c>
      <c r="CT5" s="14" t="s">
        <v>55</v>
      </c>
      <c r="CU5" s="14" t="s">
        <v>55</v>
      </c>
      <c r="CV5" s="14" t="s">
        <v>55</v>
      </c>
      <c r="CW5" s="14" t="s">
        <v>55</v>
      </c>
      <c r="CX5" s="33" t="s">
        <v>55</v>
      </c>
      <c r="CY5" s="14" t="s">
        <v>49</v>
      </c>
      <c r="CZ5" s="14" t="s">
        <v>55</v>
      </c>
      <c r="DA5" s="14" t="s">
        <v>55</v>
      </c>
      <c r="DB5" s="14" t="s">
        <v>49</v>
      </c>
      <c r="DC5" s="14" t="s">
        <v>49</v>
      </c>
      <c r="DD5" s="14" t="s">
        <v>55</v>
      </c>
      <c r="DE5" s="14" t="s">
        <v>49</v>
      </c>
      <c r="DF5" s="14" t="s">
        <v>55</v>
      </c>
      <c r="DG5" s="14" t="s">
        <v>55</v>
      </c>
      <c r="DH5" s="14" t="s">
        <v>49</v>
      </c>
      <c r="DI5" s="14" t="s">
        <v>55</v>
      </c>
      <c r="DJ5" s="34" t="s">
        <v>49</v>
      </c>
      <c r="DK5" s="34" t="s">
        <v>49</v>
      </c>
      <c r="DL5" s="14" t="s">
        <v>55</v>
      </c>
      <c r="DM5" s="14" t="s">
        <v>55</v>
      </c>
      <c r="DN5" s="14" t="s">
        <v>49</v>
      </c>
      <c r="DO5" s="14" t="s">
        <v>49</v>
      </c>
      <c r="DP5" s="14" t="s">
        <v>55</v>
      </c>
      <c r="DQ5" s="14" t="s">
        <v>55</v>
      </c>
      <c r="DR5" s="14" t="s">
        <v>55</v>
      </c>
      <c r="DS5" s="14" t="s">
        <v>55</v>
      </c>
      <c r="DT5" s="14" t="s">
        <v>49</v>
      </c>
      <c r="DU5" s="14" t="s">
        <v>49</v>
      </c>
      <c r="DV5" s="14" t="s">
        <v>49</v>
      </c>
      <c r="DW5" s="14" t="s">
        <v>55</v>
      </c>
      <c r="DX5" s="14" t="s">
        <v>49</v>
      </c>
      <c r="DY5" s="14" t="s">
        <v>55</v>
      </c>
      <c r="DZ5" s="14" t="s">
        <v>49</v>
      </c>
      <c r="EA5" s="14" t="s">
        <v>55</v>
      </c>
      <c r="EB5" s="14" t="s">
        <v>55</v>
      </c>
      <c r="EC5" s="14" t="s">
        <v>55</v>
      </c>
      <c r="ED5" s="14" t="s">
        <v>49</v>
      </c>
      <c r="EE5" s="14" t="s">
        <v>55</v>
      </c>
      <c r="EF5" s="14" t="s">
        <v>55</v>
      </c>
      <c r="EG5" s="14" t="s">
        <v>55</v>
      </c>
      <c r="EH5" s="14" t="s">
        <v>55</v>
      </c>
      <c r="EI5" s="14" t="s">
        <v>55</v>
      </c>
      <c r="EJ5" s="14" t="s">
        <v>55</v>
      </c>
      <c r="EK5" s="14" t="s">
        <v>55</v>
      </c>
      <c r="EL5" s="14" t="s">
        <v>49</v>
      </c>
      <c r="EM5" s="14" t="s">
        <v>173</v>
      </c>
      <c r="EN5" s="14" t="s">
        <v>55</v>
      </c>
      <c r="EO5" s="14" t="s">
        <v>49</v>
      </c>
      <c r="EP5" s="14" t="s">
        <v>55</v>
      </c>
      <c r="EQ5" s="14" t="s">
        <v>49</v>
      </c>
      <c r="ER5" s="14" t="s">
        <v>49</v>
      </c>
      <c r="ES5" s="14" t="s">
        <v>55</v>
      </c>
      <c r="ET5" s="14" t="s">
        <v>55</v>
      </c>
      <c r="EU5" s="14" t="s">
        <v>69</v>
      </c>
      <c r="EV5" s="30" t="s">
        <v>55</v>
      </c>
      <c r="EW5" s="14" t="s">
        <v>49</v>
      </c>
      <c r="EX5" s="14" t="s">
        <v>49</v>
      </c>
      <c r="EY5" s="14" t="s">
        <v>55</v>
      </c>
      <c r="EZ5" s="14" t="s">
        <v>49</v>
      </c>
      <c r="FA5" s="14" t="s">
        <v>55</v>
      </c>
      <c r="FB5" s="14" t="s">
        <v>55</v>
      </c>
      <c r="FC5" s="14" t="s">
        <v>55</v>
      </c>
      <c r="FD5" s="14" t="s">
        <v>49</v>
      </c>
      <c r="FE5" s="14" t="s">
        <v>55</v>
      </c>
      <c r="FF5" s="5" t="s">
        <v>49</v>
      </c>
      <c r="FG5" s="14" t="s">
        <v>49</v>
      </c>
      <c r="FH5" s="14" t="s">
        <v>49</v>
      </c>
      <c r="FI5" s="14" t="s">
        <v>49</v>
      </c>
      <c r="FJ5" s="14" t="s">
        <v>55</v>
      </c>
      <c r="FK5" s="14" t="s">
        <v>173</v>
      </c>
      <c r="FL5" s="14" t="s">
        <v>55</v>
      </c>
      <c r="FM5" s="14" t="s">
        <v>49</v>
      </c>
      <c r="FN5" s="14" t="s">
        <v>49</v>
      </c>
      <c r="FO5" s="14" t="s">
        <v>49</v>
      </c>
      <c r="FP5" s="14" t="s">
        <v>49</v>
      </c>
      <c r="FQ5" s="14" t="s">
        <v>49</v>
      </c>
      <c r="FR5" s="14" t="s">
        <v>55</v>
      </c>
      <c r="FS5" s="14" t="s">
        <v>49</v>
      </c>
      <c r="FT5" s="14" t="s">
        <v>55</v>
      </c>
      <c r="FU5" s="14" t="s">
        <v>55</v>
      </c>
      <c r="FV5" s="33" t="s">
        <v>49</v>
      </c>
      <c r="FW5" s="14" t="s">
        <v>49</v>
      </c>
      <c r="FX5" s="14" t="s">
        <v>55</v>
      </c>
      <c r="FY5" s="14" t="s">
        <v>49</v>
      </c>
      <c r="FZ5" s="14" t="s">
        <v>49</v>
      </c>
      <c r="GA5" s="14" t="s">
        <v>55</v>
      </c>
      <c r="GB5" s="14" t="s">
        <v>49</v>
      </c>
      <c r="GC5" s="14" t="s">
        <v>49</v>
      </c>
      <c r="GD5" s="14" t="s">
        <v>49</v>
      </c>
      <c r="GE5" s="14" t="s">
        <v>49</v>
      </c>
      <c r="GF5" s="14" t="s">
        <v>49</v>
      </c>
      <c r="GG5" s="14" t="s">
        <v>55</v>
      </c>
      <c r="GH5" s="14" t="s">
        <v>55</v>
      </c>
      <c r="GI5" s="14" t="s">
        <v>173</v>
      </c>
      <c r="GJ5" s="30" t="s">
        <v>55</v>
      </c>
      <c r="GK5" s="14" t="s">
        <v>49</v>
      </c>
      <c r="GL5" s="14" t="s">
        <v>49</v>
      </c>
      <c r="GM5" s="14" t="s">
        <v>55</v>
      </c>
      <c r="GN5" s="14" t="s">
        <v>173</v>
      </c>
      <c r="GO5" s="14" t="s">
        <v>55</v>
      </c>
      <c r="GP5" s="14" t="s">
        <v>49</v>
      </c>
    </row>
    <row r="6" spans="2:198" s="28" customFormat="1" ht="15.75" thickBot="1">
      <c r="B6" s="14" t="s">
        <v>52</v>
      </c>
      <c r="C6" s="14" t="s">
        <v>302</v>
      </c>
      <c r="D6" s="14" t="s">
        <v>257</v>
      </c>
      <c r="E6" s="14" t="s">
        <v>56</v>
      </c>
      <c r="F6" s="14" t="s">
        <v>56</v>
      </c>
      <c r="G6" s="14" t="s">
        <v>61</v>
      </c>
      <c r="H6" s="14" t="s">
        <v>62</v>
      </c>
      <c r="I6" s="14" t="s">
        <v>62</v>
      </c>
      <c r="J6" s="14" t="s">
        <v>62</v>
      </c>
      <c r="K6" s="14" t="s">
        <v>64</v>
      </c>
      <c r="L6" s="14" t="s">
        <v>64</v>
      </c>
      <c r="M6" s="14" t="s">
        <v>68</v>
      </c>
      <c r="N6" s="14" t="s">
        <v>68</v>
      </c>
      <c r="O6" s="14" t="s">
        <v>68</v>
      </c>
      <c r="P6" s="14" t="s">
        <v>68</v>
      </c>
      <c r="Q6" s="14" t="s">
        <v>280</v>
      </c>
      <c r="R6" s="14" t="s">
        <v>70</v>
      </c>
      <c r="S6" s="14" t="s">
        <v>70</v>
      </c>
      <c r="T6" s="14" t="s">
        <v>270</v>
      </c>
      <c r="U6" s="14" t="s">
        <v>73</v>
      </c>
      <c r="V6" s="14" t="s">
        <v>73</v>
      </c>
      <c r="W6" s="14" t="s">
        <v>76</v>
      </c>
      <c r="X6" s="14" t="s">
        <v>76</v>
      </c>
      <c r="Y6" s="14" t="s">
        <v>78</v>
      </c>
      <c r="Z6" s="14" t="s">
        <v>304</v>
      </c>
      <c r="AA6" s="14" t="s">
        <v>82</v>
      </c>
      <c r="AB6" s="14" t="s">
        <v>82</v>
      </c>
      <c r="AC6" s="14" t="s">
        <v>83</v>
      </c>
      <c r="AD6" s="14" t="s">
        <v>84</v>
      </c>
      <c r="AE6" s="14" t="s">
        <v>287</v>
      </c>
      <c r="AF6" s="14" t="s">
        <v>85</v>
      </c>
      <c r="AG6" s="14" t="s">
        <v>85</v>
      </c>
      <c r="AH6" s="14" t="s">
        <v>87</v>
      </c>
      <c r="AI6" s="14" t="s">
        <v>87</v>
      </c>
      <c r="AJ6" s="14" t="s">
        <v>87</v>
      </c>
      <c r="AK6" s="14" t="s">
        <v>90</v>
      </c>
      <c r="AL6" s="14" t="s">
        <v>90</v>
      </c>
      <c r="AM6" s="14" t="s">
        <v>271</v>
      </c>
      <c r="AN6" s="14" t="s">
        <v>271</v>
      </c>
      <c r="AO6" s="14" t="s">
        <v>320</v>
      </c>
      <c r="AP6" s="14" t="s">
        <v>320</v>
      </c>
      <c r="AQ6" s="14" t="s">
        <v>91</v>
      </c>
      <c r="AR6" s="14" t="s">
        <v>91</v>
      </c>
      <c r="AS6" s="14" t="s">
        <v>94</v>
      </c>
      <c r="AT6" s="14" t="s">
        <v>94</v>
      </c>
      <c r="AU6" s="14" t="s">
        <v>94</v>
      </c>
      <c r="AV6" s="14" t="s">
        <v>96</v>
      </c>
      <c r="AW6" s="14" t="s">
        <v>98</v>
      </c>
      <c r="AX6" s="14" t="s">
        <v>98</v>
      </c>
      <c r="AY6" s="14" t="s">
        <v>101</v>
      </c>
      <c r="AZ6" s="14" t="s">
        <v>101</v>
      </c>
      <c r="BA6" s="14" t="s">
        <v>103</v>
      </c>
      <c r="BB6" s="11" t="s">
        <v>103</v>
      </c>
      <c r="BC6" s="30" t="s">
        <v>103</v>
      </c>
      <c r="BD6" s="14" t="s">
        <v>104</v>
      </c>
      <c r="BE6" s="14" t="s">
        <v>104</v>
      </c>
      <c r="BF6" s="14" t="s">
        <v>106</v>
      </c>
      <c r="BG6" s="14" t="s">
        <v>286</v>
      </c>
      <c r="BH6" s="14" t="s">
        <v>286</v>
      </c>
      <c r="BI6" s="14" t="s">
        <v>108</v>
      </c>
      <c r="BJ6" s="14" t="s">
        <v>108</v>
      </c>
      <c r="BK6" s="14" t="s">
        <v>110</v>
      </c>
      <c r="BL6" s="14" t="s">
        <v>110</v>
      </c>
      <c r="BM6" s="14" t="s">
        <v>110</v>
      </c>
      <c r="BN6" s="14" t="s">
        <v>114</v>
      </c>
      <c r="BO6" s="14" t="s">
        <v>115</v>
      </c>
      <c r="BP6" s="14" t="s">
        <v>115</v>
      </c>
      <c r="BQ6" s="14" t="s">
        <v>117</v>
      </c>
      <c r="BR6" s="14" t="s">
        <v>117</v>
      </c>
      <c r="BS6" s="14" t="s">
        <v>120</v>
      </c>
      <c r="BT6" s="14" t="s">
        <v>120</v>
      </c>
      <c r="BU6" s="14" t="s">
        <v>122</v>
      </c>
      <c r="BV6" s="14" t="s">
        <v>122</v>
      </c>
      <c r="BW6" s="14" t="s">
        <v>122</v>
      </c>
      <c r="BX6" s="14" t="s">
        <v>124</v>
      </c>
      <c r="BY6" s="14" t="s">
        <v>124</v>
      </c>
      <c r="BZ6" s="14" t="s">
        <v>259</v>
      </c>
      <c r="CA6" s="14" t="s">
        <v>127</v>
      </c>
      <c r="CB6" s="14" t="s">
        <v>129</v>
      </c>
      <c r="CC6" s="14" t="s">
        <v>129</v>
      </c>
      <c r="CD6" s="14" t="s">
        <v>131</v>
      </c>
      <c r="CE6" s="14" t="s">
        <v>131</v>
      </c>
      <c r="CF6" s="14" t="s">
        <v>337</v>
      </c>
      <c r="CG6" s="14" t="s">
        <v>134</v>
      </c>
      <c r="CH6" s="14" t="s">
        <v>134</v>
      </c>
      <c r="CI6" s="14" t="s">
        <v>134</v>
      </c>
      <c r="CJ6" s="14" t="s">
        <v>136</v>
      </c>
      <c r="CK6" s="14" t="s">
        <v>136</v>
      </c>
      <c r="CL6" s="14" t="s">
        <v>138</v>
      </c>
      <c r="CM6" s="14" t="s">
        <v>140</v>
      </c>
      <c r="CN6" s="14" t="s">
        <v>140</v>
      </c>
      <c r="CO6" s="14" t="s">
        <v>140</v>
      </c>
      <c r="CP6" s="14" t="s">
        <v>142</v>
      </c>
      <c r="CQ6" s="14" t="s">
        <v>144</v>
      </c>
      <c r="CR6" s="14" t="s">
        <v>144</v>
      </c>
      <c r="CS6" s="14" t="s">
        <v>250</v>
      </c>
      <c r="CT6" s="14" t="s">
        <v>145</v>
      </c>
      <c r="CU6" s="14" t="s">
        <v>145</v>
      </c>
      <c r="CV6" s="14" t="s">
        <v>146</v>
      </c>
      <c r="CW6" s="14" t="s">
        <v>148</v>
      </c>
      <c r="CX6" s="33" t="s">
        <v>149</v>
      </c>
      <c r="CY6" s="14" t="s">
        <v>151</v>
      </c>
      <c r="CZ6" s="14" t="s">
        <v>284</v>
      </c>
      <c r="DA6" s="14" t="s">
        <v>152</v>
      </c>
      <c r="DB6" s="14" t="s">
        <v>152</v>
      </c>
      <c r="DC6" s="14" t="s">
        <v>152</v>
      </c>
      <c r="DD6" s="14" t="s">
        <v>155</v>
      </c>
      <c r="DE6" s="14" t="s">
        <v>155</v>
      </c>
      <c r="DF6" s="14" t="s">
        <v>157</v>
      </c>
      <c r="DG6" s="14" t="s">
        <v>157</v>
      </c>
      <c r="DH6" s="14" t="s">
        <v>157</v>
      </c>
      <c r="DI6" s="14" t="s">
        <v>159</v>
      </c>
      <c r="DJ6" s="34" t="s">
        <v>242</v>
      </c>
      <c r="DK6" s="34" t="s">
        <v>277</v>
      </c>
      <c r="DL6" s="35" t="s">
        <v>277</v>
      </c>
      <c r="DM6" s="14" t="s">
        <v>277</v>
      </c>
      <c r="DN6" s="14" t="s">
        <v>162</v>
      </c>
      <c r="DO6" s="14" t="s">
        <v>164</v>
      </c>
      <c r="DP6" s="14" t="s">
        <v>164</v>
      </c>
      <c r="DQ6" s="14" t="s">
        <v>165</v>
      </c>
      <c r="DR6" s="14" t="s">
        <v>165</v>
      </c>
      <c r="DS6" s="14" t="s">
        <v>314</v>
      </c>
      <c r="DT6" s="14" t="s">
        <v>168</v>
      </c>
      <c r="DU6" s="14" t="s">
        <v>336</v>
      </c>
      <c r="DV6" s="14" t="s">
        <v>319</v>
      </c>
      <c r="DW6" s="14" t="s">
        <v>169</v>
      </c>
      <c r="DX6" s="14" t="s">
        <v>324</v>
      </c>
      <c r="DY6" s="14" t="s">
        <v>171</v>
      </c>
      <c r="DZ6" s="14" t="s">
        <v>258</v>
      </c>
      <c r="EA6" s="14" t="s">
        <v>172</v>
      </c>
      <c r="EB6" s="14" t="s">
        <v>313</v>
      </c>
      <c r="EC6" s="14" t="s">
        <v>176</v>
      </c>
      <c r="ED6" s="14" t="s">
        <v>176</v>
      </c>
      <c r="EE6" s="14" t="s">
        <v>296</v>
      </c>
      <c r="EF6" s="14" t="s">
        <v>179</v>
      </c>
      <c r="EG6" s="14" t="s">
        <v>180</v>
      </c>
      <c r="EH6" s="14" t="s">
        <v>285</v>
      </c>
      <c r="EI6" s="14" t="s">
        <v>181</v>
      </c>
      <c r="EJ6" s="14" t="s">
        <v>182</v>
      </c>
      <c r="EK6" s="14" t="s">
        <v>184</v>
      </c>
      <c r="EL6" s="14" t="s">
        <v>186</v>
      </c>
      <c r="EM6" s="14" t="s">
        <v>317</v>
      </c>
      <c r="EN6" s="14" t="s">
        <v>189</v>
      </c>
      <c r="EO6" s="14" t="s">
        <v>189</v>
      </c>
      <c r="EP6" s="14" t="s">
        <v>190</v>
      </c>
      <c r="EQ6" s="14" t="s">
        <v>191</v>
      </c>
      <c r="ER6" s="14" t="s">
        <v>193</v>
      </c>
      <c r="ES6" s="14" t="s">
        <v>246</v>
      </c>
      <c r="ET6" s="14" t="s">
        <v>288</v>
      </c>
      <c r="EU6" s="30" t="s">
        <v>288</v>
      </c>
      <c r="EV6" s="30" t="s">
        <v>297</v>
      </c>
      <c r="EW6" s="14" t="s">
        <v>198</v>
      </c>
      <c r="EX6" s="14" t="s">
        <v>240</v>
      </c>
      <c r="EY6" s="14" t="s">
        <v>264</v>
      </c>
      <c r="EZ6" s="14" t="s">
        <v>200</v>
      </c>
      <c r="FA6" s="14" t="s">
        <v>201</v>
      </c>
      <c r="FB6" s="14" t="s">
        <v>311</v>
      </c>
      <c r="FC6" s="14" t="s">
        <v>203</v>
      </c>
      <c r="FD6" s="14" t="s">
        <v>206</v>
      </c>
      <c r="FE6" s="14" t="s">
        <v>206</v>
      </c>
      <c r="FF6" s="5" t="s">
        <v>341</v>
      </c>
      <c r="FG6" s="14" t="s">
        <v>261</v>
      </c>
      <c r="FH6" s="14" t="s">
        <v>249</v>
      </c>
      <c r="FI6" s="14" t="s">
        <v>209</v>
      </c>
      <c r="FJ6" s="14" t="s">
        <v>210</v>
      </c>
      <c r="FK6" s="14" t="s">
        <v>211</v>
      </c>
      <c r="FL6" s="14" t="s">
        <v>211</v>
      </c>
      <c r="FM6" s="14" t="s">
        <v>212</v>
      </c>
      <c r="FN6" s="14" t="s">
        <v>252</v>
      </c>
      <c r="FO6" s="14" t="s">
        <v>243</v>
      </c>
      <c r="FP6" s="14" t="s">
        <v>213</v>
      </c>
      <c r="FQ6" s="14" t="s">
        <v>213</v>
      </c>
      <c r="FR6" s="14" t="s">
        <v>215</v>
      </c>
      <c r="FS6" s="14" t="s">
        <v>216</v>
      </c>
      <c r="FT6" s="14" t="s">
        <v>218</v>
      </c>
      <c r="FU6" s="14" t="s">
        <v>218</v>
      </c>
      <c r="FV6" s="33" t="s">
        <v>255</v>
      </c>
      <c r="FW6" s="14" t="s">
        <v>220</v>
      </c>
      <c r="FX6" s="14" t="s">
        <v>221</v>
      </c>
      <c r="FY6" s="14" t="s">
        <v>223</v>
      </c>
      <c r="FZ6" s="14" t="s">
        <v>224</v>
      </c>
      <c r="GA6" s="14" t="s">
        <v>256</v>
      </c>
      <c r="GB6" s="14" t="s">
        <v>225</v>
      </c>
      <c r="GC6" s="14" t="s">
        <v>227</v>
      </c>
      <c r="GD6" s="14" t="s">
        <v>269</v>
      </c>
      <c r="GE6" s="14" t="s">
        <v>269</v>
      </c>
      <c r="GF6" s="14" t="s">
        <v>228</v>
      </c>
      <c r="GG6" s="14" t="s">
        <v>229</v>
      </c>
      <c r="GH6" s="14" t="s">
        <v>330</v>
      </c>
      <c r="GI6" s="14" t="s">
        <v>231</v>
      </c>
      <c r="GJ6" s="30" t="s">
        <v>233</v>
      </c>
      <c r="GK6" s="30" t="s">
        <v>233</v>
      </c>
      <c r="GL6" s="14" t="s">
        <v>262</v>
      </c>
      <c r="GM6" s="14" t="s">
        <v>309</v>
      </c>
      <c r="GN6" s="14" t="s">
        <v>235</v>
      </c>
      <c r="GO6" s="14" t="s">
        <v>236</v>
      </c>
      <c r="GP6" s="14" t="s">
        <v>238</v>
      </c>
    </row>
    <row r="7" spans="1:198" ht="15">
      <c r="A7" s="4" t="s">
        <v>0</v>
      </c>
      <c r="B7" s="36"/>
      <c r="C7" s="36"/>
      <c r="D7" s="6"/>
      <c r="E7" s="6"/>
      <c r="F7" s="6"/>
      <c r="G7" s="6"/>
      <c r="H7" s="6"/>
      <c r="I7" s="6"/>
      <c r="J7" s="6"/>
      <c r="K7" s="6"/>
      <c r="L7" s="6"/>
      <c r="M7" s="15"/>
      <c r="N7" s="37"/>
      <c r="O7" s="6"/>
      <c r="P7" s="15"/>
      <c r="Q7" s="6"/>
      <c r="R7" s="6"/>
      <c r="S7" s="6"/>
      <c r="T7" s="6"/>
      <c r="U7" s="6"/>
      <c r="V7" s="6"/>
      <c r="W7" s="6"/>
      <c r="X7" s="6"/>
      <c r="Y7" s="6"/>
      <c r="Z7" s="37"/>
      <c r="AA7" s="6"/>
      <c r="AB7" s="6"/>
      <c r="AC7" s="6"/>
      <c r="AD7" s="6"/>
      <c r="AE7" s="6"/>
      <c r="AF7" s="6"/>
      <c r="AG7" s="6"/>
      <c r="AH7" s="6"/>
      <c r="AI7" s="6"/>
      <c r="AJ7" s="15"/>
      <c r="AK7" s="6"/>
      <c r="AL7" s="6"/>
      <c r="AM7" s="15"/>
      <c r="AN7" s="6"/>
      <c r="AO7" s="15"/>
      <c r="AP7" s="15"/>
      <c r="AQ7" s="15"/>
      <c r="AR7" s="6"/>
      <c r="AS7" s="6"/>
      <c r="AT7" s="6"/>
      <c r="AU7" s="15"/>
      <c r="AV7" s="6"/>
      <c r="AW7" s="6"/>
      <c r="AX7" s="6"/>
      <c r="AY7" s="6"/>
      <c r="AZ7" s="6"/>
      <c r="BA7" s="6"/>
      <c r="BB7" s="16"/>
      <c r="BC7" s="16"/>
      <c r="BD7" s="6"/>
      <c r="BE7" s="6"/>
      <c r="BF7" s="6"/>
      <c r="BG7" s="6"/>
      <c r="BH7" s="6"/>
      <c r="BI7" s="6"/>
      <c r="BJ7" s="6"/>
      <c r="BK7" s="15"/>
      <c r="BL7" s="15"/>
      <c r="BM7" s="15"/>
      <c r="BN7" s="6"/>
      <c r="BO7" s="15"/>
      <c r="BP7" s="6"/>
      <c r="BQ7" s="6"/>
      <c r="BR7" s="6"/>
      <c r="BS7" s="15"/>
      <c r="BT7" s="6"/>
      <c r="BU7" s="6"/>
      <c r="BV7" s="6"/>
      <c r="BW7" s="6"/>
      <c r="BX7" s="6"/>
      <c r="BY7" s="6"/>
      <c r="BZ7" s="6"/>
      <c r="CA7" s="15"/>
      <c r="CB7" s="6"/>
      <c r="CC7" s="6"/>
      <c r="CD7" s="15"/>
      <c r="CE7" s="6"/>
      <c r="CF7" s="6"/>
      <c r="CG7" s="6"/>
      <c r="CH7" s="6"/>
      <c r="CI7" s="15"/>
      <c r="CJ7" s="6"/>
      <c r="CK7" s="6"/>
      <c r="CL7" s="15"/>
      <c r="CM7" s="6"/>
      <c r="CN7" s="6"/>
      <c r="CO7" s="6"/>
      <c r="CP7" s="15"/>
      <c r="CQ7" s="15"/>
      <c r="CR7" s="6"/>
      <c r="CS7" s="15"/>
      <c r="CT7" s="15"/>
      <c r="CU7" s="6"/>
      <c r="CV7" s="6"/>
      <c r="CW7" s="6"/>
      <c r="CX7" s="6"/>
      <c r="CY7" s="6"/>
      <c r="CZ7" s="15"/>
      <c r="DA7" s="6"/>
      <c r="DB7" s="6"/>
      <c r="DC7" s="6"/>
      <c r="DD7" s="6"/>
      <c r="DE7" s="6"/>
      <c r="DF7" s="6"/>
      <c r="DG7" s="6"/>
      <c r="DH7" s="6"/>
      <c r="DI7" s="6"/>
      <c r="DJ7" s="38"/>
      <c r="DK7" s="38"/>
      <c r="DL7" s="39"/>
      <c r="DM7" s="6"/>
      <c r="DN7" s="6"/>
      <c r="DO7" s="6"/>
      <c r="DP7" s="15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15"/>
      <c r="EQ7" s="6"/>
      <c r="ER7" s="6"/>
      <c r="ES7" s="6"/>
      <c r="ET7" s="6"/>
      <c r="EU7" s="6"/>
      <c r="EV7" s="17"/>
      <c r="EW7" s="6"/>
      <c r="EX7" s="6"/>
      <c r="EY7" s="6"/>
      <c r="EZ7" s="15"/>
      <c r="FA7" s="6"/>
      <c r="FB7" s="6"/>
      <c r="FC7" s="6"/>
      <c r="FD7" s="15"/>
      <c r="FE7" s="6"/>
      <c r="FF7" s="6"/>
      <c r="FG7" s="6"/>
      <c r="FH7" s="6"/>
      <c r="FI7" s="6"/>
      <c r="FJ7" s="6"/>
      <c r="FK7" s="36"/>
      <c r="FL7" s="6"/>
      <c r="FM7" s="6"/>
      <c r="FN7" s="15"/>
      <c r="FO7" s="6"/>
      <c r="FP7" s="6"/>
      <c r="FQ7" s="6"/>
      <c r="FR7" s="6"/>
      <c r="FS7" s="15"/>
      <c r="FT7" s="6"/>
      <c r="FU7" s="6"/>
      <c r="FV7" s="6"/>
      <c r="FW7" s="6"/>
      <c r="FX7" s="6"/>
      <c r="FY7" s="6"/>
      <c r="FZ7" s="15"/>
      <c r="GA7" s="15"/>
      <c r="GB7" s="16"/>
      <c r="GC7" s="15"/>
      <c r="GD7" s="15"/>
      <c r="GE7" s="6"/>
      <c r="GF7" s="16"/>
      <c r="GG7" s="6"/>
      <c r="GH7" s="6"/>
      <c r="GI7" s="6"/>
      <c r="GJ7" s="16"/>
      <c r="GK7" s="6"/>
      <c r="GL7" s="15"/>
      <c r="GM7" s="6"/>
      <c r="GN7" s="6"/>
      <c r="GO7" s="6"/>
      <c r="GP7" s="15"/>
    </row>
    <row r="8" spans="1:198" s="2" customFormat="1" ht="15">
      <c r="A8" s="2" t="s">
        <v>1</v>
      </c>
      <c r="B8" s="40">
        <f>40546-6286</f>
        <v>34260</v>
      </c>
      <c r="C8" s="40">
        <f>167000-26700-11895</f>
        <v>128405</v>
      </c>
      <c r="D8" s="1">
        <v>138436</v>
      </c>
      <c r="E8" s="1">
        <v>191678</v>
      </c>
      <c r="F8" s="1">
        <v>66528</v>
      </c>
      <c r="G8" s="1">
        <v>159420</v>
      </c>
      <c r="H8" s="1">
        <v>60239</v>
      </c>
      <c r="I8" s="1">
        <f>752657-293526</f>
        <v>459131</v>
      </c>
      <c r="J8" s="1">
        <f>844343-95367</f>
        <v>748976</v>
      </c>
      <c r="K8" s="1">
        <v>590569</v>
      </c>
      <c r="L8" s="41">
        <v>1747092</v>
      </c>
      <c r="M8" s="1">
        <f>253186-25667</f>
        <v>227519</v>
      </c>
      <c r="N8" s="1">
        <v>159290</v>
      </c>
      <c r="O8" s="1">
        <f>555466-30000</f>
        <v>525466</v>
      </c>
      <c r="P8" s="1">
        <v>84057</v>
      </c>
      <c r="Q8" s="1">
        <v>934755</v>
      </c>
      <c r="R8" s="1">
        <v>858375</v>
      </c>
      <c r="S8" s="1">
        <f>578672-34200-20500</f>
        <v>523972</v>
      </c>
      <c r="T8" s="1">
        <f>227614-22700</f>
        <v>204914</v>
      </c>
      <c r="U8" s="1">
        <v>122550</v>
      </c>
      <c r="V8" s="1">
        <v>1848511</v>
      </c>
      <c r="W8" s="1">
        <v>319833</v>
      </c>
      <c r="X8" s="1">
        <v>604628</v>
      </c>
      <c r="Y8" s="1">
        <v>403386</v>
      </c>
      <c r="Z8" s="1">
        <v>813494</v>
      </c>
      <c r="AA8" s="1">
        <v>403732</v>
      </c>
      <c r="AB8" s="1">
        <f>886950-84459</f>
        <v>802491</v>
      </c>
      <c r="AC8" s="1">
        <v>2309776</v>
      </c>
      <c r="AD8" s="1">
        <v>1187919</v>
      </c>
      <c r="AE8" s="1">
        <v>405047</v>
      </c>
      <c r="AF8" s="1">
        <v>1379348</v>
      </c>
      <c r="AG8" s="1">
        <v>2107200</v>
      </c>
      <c r="AH8" s="1">
        <v>1400835</v>
      </c>
      <c r="AI8" s="2">
        <v>1387795</v>
      </c>
      <c r="AJ8" s="2">
        <f>1263863-129381</f>
        <v>1134482</v>
      </c>
      <c r="AK8" s="2">
        <v>1063667</v>
      </c>
      <c r="AL8" s="2">
        <v>790970</v>
      </c>
      <c r="AM8" s="1">
        <v>1355088</v>
      </c>
      <c r="AN8" s="1">
        <f>1128779-29007</f>
        <v>1099772</v>
      </c>
      <c r="AO8" s="2">
        <v>1264483</v>
      </c>
      <c r="AP8" s="2">
        <v>7690798</v>
      </c>
      <c r="AQ8" s="1">
        <v>1599675</v>
      </c>
      <c r="AR8" s="1">
        <v>623400</v>
      </c>
      <c r="AS8" s="1">
        <v>2154814</v>
      </c>
      <c r="AT8" s="41">
        <v>993339</v>
      </c>
      <c r="AU8" s="1">
        <f>1640276-25700</f>
        <v>1614576</v>
      </c>
      <c r="AV8" s="1">
        <f>273273-27372</f>
        <v>245901</v>
      </c>
      <c r="AW8" s="1">
        <f>2091870-110000</f>
        <v>1981870</v>
      </c>
      <c r="AX8" s="1">
        <v>432763</v>
      </c>
      <c r="AY8" s="1">
        <f>909406-75000</f>
        <v>834406</v>
      </c>
      <c r="AZ8" s="1">
        <v>2254905</v>
      </c>
      <c r="BA8" s="1">
        <v>4972485</v>
      </c>
      <c r="BB8" s="18">
        <f>1388249-50000</f>
        <v>1338249</v>
      </c>
      <c r="BC8" s="18">
        <f>441879-35833</f>
        <v>406046</v>
      </c>
      <c r="BD8" s="1">
        <f>1111900-137017</f>
        <v>974883</v>
      </c>
      <c r="BE8" s="1">
        <f>1885024-144735</f>
        <v>1740289</v>
      </c>
      <c r="BF8" s="1">
        <f>1163748-57115</f>
        <v>1106633</v>
      </c>
      <c r="BG8" s="1">
        <v>983546</v>
      </c>
      <c r="BH8" s="1">
        <v>2771383</v>
      </c>
      <c r="BI8" s="2">
        <v>2307084</v>
      </c>
      <c r="BJ8" s="1">
        <v>4746173</v>
      </c>
      <c r="BK8" s="1">
        <f>1919295-8576</f>
        <v>1910719</v>
      </c>
      <c r="BL8" s="1">
        <v>3175921</v>
      </c>
      <c r="BM8" s="1">
        <f>648117-64812</f>
        <v>583305</v>
      </c>
      <c r="BN8" s="1">
        <v>1541814</v>
      </c>
      <c r="BO8" s="1">
        <v>3027933</v>
      </c>
      <c r="BP8" s="1">
        <v>2804364</v>
      </c>
      <c r="BQ8" s="1">
        <v>3167311</v>
      </c>
      <c r="BR8" s="1">
        <f>1237164-270000-22079</f>
        <v>945085</v>
      </c>
      <c r="BS8" s="1">
        <f>2750709-647116</f>
        <v>2103593</v>
      </c>
      <c r="BT8" s="1">
        <v>838534</v>
      </c>
      <c r="BU8" s="1">
        <v>1614875</v>
      </c>
      <c r="BV8" s="1">
        <f>946004-62000-36124</f>
        <v>847880</v>
      </c>
      <c r="BW8" s="41">
        <v>2145645</v>
      </c>
      <c r="BX8" s="1">
        <f>1776544-15154</f>
        <v>1761390</v>
      </c>
      <c r="BY8" s="1">
        <v>3879286</v>
      </c>
      <c r="BZ8" s="1">
        <f>1743885-26088</f>
        <v>1717797</v>
      </c>
      <c r="CA8" s="1">
        <v>2267887</v>
      </c>
      <c r="CB8" s="1">
        <v>3774831</v>
      </c>
      <c r="CC8" s="1">
        <v>1212778</v>
      </c>
      <c r="CD8" s="1">
        <v>1023341</v>
      </c>
      <c r="CE8" s="1">
        <f>1231092-21761</f>
        <v>1209331</v>
      </c>
      <c r="CF8" s="1">
        <f>2333287-64785-11134</f>
        <v>2257368</v>
      </c>
      <c r="CG8" s="1">
        <v>598548</v>
      </c>
      <c r="CH8" s="1">
        <v>1501062</v>
      </c>
      <c r="CI8" s="1">
        <v>3300438</v>
      </c>
      <c r="CJ8" s="1">
        <f>2163327-104000</f>
        <v>2059327</v>
      </c>
      <c r="CK8" s="1">
        <f>2091486-198651</f>
        <v>1892835</v>
      </c>
      <c r="CL8" s="1">
        <v>570386</v>
      </c>
      <c r="CM8" s="1">
        <v>1621629</v>
      </c>
      <c r="CN8" s="1">
        <v>1926122</v>
      </c>
      <c r="CO8" s="1">
        <v>3810377</v>
      </c>
      <c r="CP8" s="1">
        <v>5346185</v>
      </c>
      <c r="CQ8" s="1">
        <v>2019356</v>
      </c>
      <c r="CR8" s="2">
        <v>2229105</v>
      </c>
      <c r="CS8" s="1">
        <v>1791858</v>
      </c>
      <c r="CT8" s="2">
        <v>1056114</v>
      </c>
      <c r="CU8" s="2">
        <v>1695657</v>
      </c>
      <c r="CV8" s="1">
        <v>2098980</v>
      </c>
      <c r="CW8" s="1">
        <v>1550536</v>
      </c>
      <c r="CX8" s="41">
        <f>1044127-107039</f>
        <v>937088</v>
      </c>
      <c r="CY8" s="1">
        <f>2156413-24024</f>
        <v>2132389</v>
      </c>
      <c r="CZ8" s="1">
        <f>3494449-125000</f>
        <v>3369449</v>
      </c>
      <c r="DA8" s="1">
        <v>5087859</v>
      </c>
      <c r="DB8" s="1">
        <f>1112506-2360</f>
        <v>1110146</v>
      </c>
      <c r="DC8" s="1">
        <v>694943</v>
      </c>
      <c r="DD8" s="1">
        <v>4305979</v>
      </c>
      <c r="DE8" s="1">
        <v>1601080</v>
      </c>
      <c r="DF8" s="1">
        <v>1570506</v>
      </c>
      <c r="DG8" s="1">
        <f>2920915-50000</f>
        <v>2870915</v>
      </c>
      <c r="DH8" s="1">
        <v>3391903</v>
      </c>
      <c r="DI8" s="1">
        <v>3377728</v>
      </c>
      <c r="DJ8" s="1">
        <v>3739081</v>
      </c>
      <c r="DK8" s="1">
        <f>1940144-182026-69013</f>
        <v>1689105</v>
      </c>
      <c r="DL8" s="1">
        <v>3246466</v>
      </c>
      <c r="DM8" s="1">
        <f>2707316-56260</f>
        <v>2651056</v>
      </c>
      <c r="DN8" s="1">
        <f>1073675-11916</f>
        <v>1061759</v>
      </c>
      <c r="DO8" s="1">
        <v>1785952</v>
      </c>
      <c r="DP8" s="1">
        <f>829173-320000</f>
        <v>509173</v>
      </c>
      <c r="DQ8" s="1">
        <v>2842127</v>
      </c>
      <c r="DR8" s="1">
        <v>1905422</v>
      </c>
      <c r="DS8" s="1">
        <v>2770394</v>
      </c>
      <c r="DT8" s="1">
        <f>1525786-163506</f>
        <v>1362280</v>
      </c>
      <c r="DU8" s="1">
        <v>2008806</v>
      </c>
      <c r="DV8" s="1">
        <f>1304465-180000</f>
        <v>1124465</v>
      </c>
      <c r="DW8" s="1">
        <v>2673938</v>
      </c>
      <c r="DX8" s="1">
        <f>2611836-90500</f>
        <v>2521336</v>
      </c>
      <c r="DY8" s="1">
        <v>1660226</v>
      </c>
      <c r="DZ8" s="1">
        <v>2916248</v>
      </c>
      <c r="EA8" s="1">
        <v>2547881</v>
      </c>
      <c r="EB8" s="1">
        <v>2103685</v>
      </c>
      <c r="EC8" s="1">
        <f>1583408-34050</f>
        <v>1549358</v>
      </c>
      <c r="ED8" s="1">
        <f>1518732-76787-54886</f>
        <v>1387059</v>
      </c>
      <c r="EE8" s="1">
        <v>1729423</v>
      </c>
      <c r="EF8" s="1">
        <f>2347294-49574</f>
        <v>2297720</v>
      </c>
      <c r="EG8" s="1">
        <v>1487371</v>
      </c>
      <c r="EH8" s="1">
        <v>3107480</v>
      </c>
      <c r="EI8" s="1">
        <v>3916835</v>
      </c>
      <c r="EJ8" s="1">
        <f>2035025-171000</f>
        <v>1864025</v>
      </c>
      <c r="EK8" s="1">
        <v>12237930</v>
      </c>
      <c r="EL8" s="1">
        <v>1769998</v>
      </c>
      <c r="EM8" s="1">
        <v>2732454</v>
      </c>
      <c r="EN8" s="1">
        <f>3015720-79190</f>
        <v>2936530</v>
      </c>
      <c r="EO8" s="1">
        <v>1339452</v>
      </c>
      <c r="EP8" s="1">
        <v>3947121</v>
      </c>
      <c r="EQ8" s="1">
        <v>1218740</v>
      </c>
      <c r="ER8" s="1">
        <f>5592332-44700</f>
        <v>5547632</v>
      </c>
      <c r="ES8" s="1">
        <f>5178431-750000</f>
        <v>4428431</v>
      </c>
      <c r="ET8" s="1">
        <f>3713018-220965</f>
        <v>3492053</v>
      </c>
      <c r="EU8" s="1">
        <v>3097403</v>
      </c>
      <c r="EV8" s="18">
        <v>3041799</v>
      </c>
      <c r="EW8" s="1">
        <f>6154453-99500</f>
        <v>6054953</v>
      </c>
      <c r="EX8" s="1">
        <f>3117541-300090-123504</f>
        <v>2693947</v>
      </c>
      <c r="EY8" s="1">
        <v>4124456</v>
      </c>
      <c r="EZ8" s="42">
        <v>2426460</v>
      </c>
      <c r="FA8" s="1">
        <v>3278848</v>
      </c>
      <c r="FB8" s="1">
        <v>4423414</v>
      </c>
      <c r="FC8" s="1">
        <v>3162425</v>
      </c>
      <c r="FD8" s="1">
        <f>2998660-100172</f>
        <v>2898488</v>
      </c>
      <c r="FE8" s="1">
        <v>3691424</v>
      </c>
      <c r="FF8" s="1">
        <v>3103083</v>
      </c>
      <c r="FG8" s="1">
        <f>3245357-28800</f>
        <v>3216557</v>
      </c>
      <c r="FH8" s="1">
        <f>5784934-339427</f>
        <v>5445507</v>
      </c>
      <c r="FI8" s="1">
        <f>10218511-307400-55239</f>
        <v>9855872</v>
      </c>
      <c r="FJ8" s="1">
        <v>1761287</v>
      </c>
      <c r="FK8" s="2">
        <v>4647096</v>
      </c>
      <c r="FL8" s="1">
        <v>4818600</v>
      </c>
      <c r="FM8" s="1">
        <v>6848680</v>
      </c>
      <c r="FN8" s="1">
        <f>6527143-225699+7053630</f>
        <v>13355074</v>
      </c>
      <c r="FO8" s="1">
        <f>4076118-259187-261348</f>
        <v>3555583</v>
      </c>
      <c r="FP8" s="1">
        <v>2183979</v>
      </c>
      <c r="FQ8" s="1">
        <f>2888493-295000</f>
        <v>2593493</v>
      </c>
      <c r="FR8" s="1">
        <v>3257180</v>
      </c>
      <c r="FS8" s="1">
        <v>6255362</v>
      </c>
      <c r="FT8" s="1">
        <v>7036508</v>
      </c>
      <c r="FU8" s="1">
        <v>2663236</v>
      </c>
      <c r="FV8" s="41">
        <f>3533727-50000</f>
        <v>3483727</v>
      </c>
      <c r="FW8" s="1">
        <v>9638459</v>
      </c>
      <c r="FX8" s="1">
        <v>8869755</v>
      </c>
      <c r="FY8" s="2">
        <f>2547595-10392</f>
        <v>2537203</v>
      </c>
      <c r="FZ8" s="1">
        <v>6357805</v>
      </c>
      <c r="GA8" s="1">
        <v>8958313</v>
      </c>
      <c r="GB8" s="1">
        <f>5843964-224173</f>
        <v>5619791</v>
      </c>
      <c r="GC8" s="1">
        <f>6345981-348000</f>
        <v>5997981</v>
      </c>
      <c r="GD8" s="1">
        <f>8297328-104240</f>
        <v>8193088</v>
      </c>
      <c r="GE8" s="1">
        <v>4610006</v>
      </c>
      <c r="GF8" s="1">
        <f>3525864-900000</f>
        <v>2625864</v>
      </c>
      <c r="GG8" s="1">
        <f>12173076-546308</f>
        <v>11626768</v>
      </c>
      <c r="GH8" s="1">
        <f>8370130-962700</f>
        <v>7407430</v>
      </c>
      <c r="GI8" s="1">
        <v>8552898</v>
      </c>
      <c r="GJ8" s="18">
        <f>11765387-450000</f>
        <v>11315387</v>
      </c>
      <c r="GK8" s="1">
        <f>9925538-1064663</f>
        <v>8860875</v>
      </c>
      <c r="GL8" s="1">
        <f>14034997-308300</f>
        <v>13726697</v>
      </c>
      <c r="GM8" s="1">
        <f>6098682-12277</f>
        <v>6086405</v>
      </c>
      <c r="GN8" s="1">
        <v>11711275</v>
      </c>
      <c r="GO8" s="1">
        <v>15675326</v>
      </c>
      <c r="GP8" s="1">
        <f>6026784-297508</f>
        <v>5729276</v>
      </c>
    </row>
    <row r="9" spans="1:198" s="2" customFormat="1" ht="15">
      <c r="A9" s="2" t="s">
        <v>2</v>
      </c>
      <c r="B9" s="40"/>
      <c r="C9" s="40"/>
      <c r="D9" s="1"/>
      <c r="E9" s="1">
        <v>-13981</v>
      </c>
      <c r="F9" s="1">
        <v>-9230</v>
      </c>
      <c r="G9" s="1"/>
      <c r="H9" s="1"/>
      <c r="I9" s="1"/>
      <c r="J9" s="1"/>
      <c r="K9" s="1"/>
      <c r="L9" s="41">
        <v>-69803</v>
      </c>
      <c r="M9" s="1"/>
      <c r="N9" s="1">
        <v>-68040</v>
      </c>
      <c r="O9" s="1"/>
      <c r="P9" s="1"/>
      <c r="Q9" s="1"/>
      <c r="R9" s="1"/>
      <c r="S9" s="1"/>
      <c r="T9" s="1"/>
      <c r="U9" s="1"/>
      <c r="V9" s="1">
        <v>-116777</v>
      </c>
      <c r="W9" s="1"/>
      <c r="X9" s="1">
        <v>-46742</v>
      </c>
      <c r="Y9" s="1">
        <v>-22957</v>
      </c>
      <c r="Z9" s="1"/>
      <c r="AA9" s="1">
        <v>-47814</v>
      </c>
      <c r="AB9" s="1"/>
      <c r="AC9" s="1">
        <v>-141688</v>
      </c>
      <c r="AD9" s="1"/>
      <c r="AE9" s="1">
        <v>-29080</v>
      </c>
      <c r="AF9" s="1">
        <v>-85632</v>
      </c>
      <c r="AG9" s="1"/>
      <c r="AH9" s="1">
        <v>-81685</v>
      </c>
      <c r="AM9" s="1">
        <v>-90531</v>
      </c>
      <c r="AN9" s="1">
        <v>-112295</v>
      </c>
      <c r="AO9" s="2">
        <v>-84836</v>
      </c>
      <c r="AP9" s="2">
        <v>-531258</v>
      </c>
      <c r="AQ9" s="1">
        <v>-106775</v>
      </c>
      <c r="AR9" s="1"/>
      <c r="AS9" s="1">
        <v>-136896</v>
      </c>
      <c r="AT9" s="41">
        <v>-80040</v>
      </c>
      <c r="AU9" s="1">
        <v>-168523</v>
      </c>
      <c r="AV9" s="1"/>
      <c r="AW9" s="1">
        <v>-140838</v>
      </c>
      <c r="AX9" s="1">
        <v>-33136</v>
      </c>
      <c r="AY9" s="1">
        <v>-63840</v>
      </c>
      <c r="AZ9" s="1">
        <v>-147533</v>
      </c>
      <c r="BA9" s="1">
        <v>-323862</v>
      </c>
      <c r="BB9" s="18"/>
      <c r="BC9" s="18">
        <v>-42760</v>
      </c>
      <c r="BD9" s="1">
        <v>-151320</v>
      </c>
      <c r="BE9" s="1">
        <v>-196929</v>
      </c>
      <c r="BF9" s="1"/>
      <c r="BG9" s="1">
        <v>-89351</v>
      </c>
      <c r="BH9" s="1">
        <v>-216886</v>
      </c>
      <c r="BI9" s="2">
        <v>-111783</v>
      </c>
      <c r="BJ9" s="1">
        <v>-308743</v>
      </c>
      <c r="BK9" s="1"/>
      <c r="BL9" s="1">
        <v>-255695</v>
      </c>
      <c r="BM9" s="1">
        <v>-72361</v>
      </c>
      <c r="BN9" s="1"/>
      <c r="BO9" s="1"/>
      <c r="BP9" s="1">
        <v>-191861</v>
      </c>
      <c r="BQ9" s="1">
        <v>-245658</v>
      </c>
      <c r="BR9" s="1"/>
      <c r="BS9" s="1">
        <v>-341416</v>
      </c>
      <c r="BT9" s="1">
        <v>-63346</v>
      </c>
      <c r="BU9" s="1">
        <v>-133820</v>
      </c>
      <c r="BV9" s="1"/>
      <c r="BW9" s="41">
        <v>-70497</v>
      </c>
      <c r="BX9" s="1"/>
      <c r="BY9" s="1">
        <v>-284951</v>
      </c>
      <c r="BZ9" s="1"/>
      <c r="CA9" s="1">
        <v>-197433</v>
      </c>
      <c r="CB9" s="1">
        <v>-270955</v>
      </c>
      <c r="CC9" s="1"/>
      <c r="CD9" s="1"/>
      <c r="CE9" s="1"/>
      <c r="CF9" s="1"/>
      <c r="CG9" s="1"/>
      <c r="CH9" s="1">
        <v>-124387</v>
      </c>
      <c r="CI9" s="1">
        <v>-204009</v>
      </c>
      <c r="CJ9" s="1">
        <v>-217604</v>
      </c>
      <c r="CK9" s="1">
        <v>-166692</v>
      </c>
      <c r="CL9" s="1">
        <v>-81526</v>
      </c>
      <c r="CM9" s="1">
        <v>-116669</v>
      </c>
      <c r="CN9" s="1">
        <v>-158783</v>
      </c>
      <c r="CO9" s="1">
        <v>-306641</v>
      </c>
      <c r="CP9" s="1">
        <v>-292157</v>
      </c>
      <c r="CQ9" s="1">
        <v>-157829</v>
      </c>
      <c r="CR9" s="2">
        <v>-401049</v>
      </c>
      <c r="CS9" s="1">
        <v>-120605</v>
      </c>
      <c r="CT9" s="2">
        <v>-50592</v>
      </c>
      <c r="CU9" s="2">
        <v>-203480</v>
      </c>
      <c r="CV9" s="1">
        <v>-135007</v>
      </c>
      <c r="CW9" s="1">
        <v>-166556</v>
      </c>
      <c r="CX9" s="41">
        <v>-50787</v>
      </c>
      <c r="CY9" s="1"/>
      <c r="CZ9" s="1">
        <v>-211319</v>
      </c>
      <c r="DA9" s="1">
        <v>-449237</v>
      </c>
      <c r="DB9" s="1"/>
      <c r="DC9" s="1"/>
      <c r="DD9" s="1">
        <v>-325066</v>
      </c>
      <c r="DE9" s="1"/>
      <c r="DF9" s="1">
        <v>-118140</v>
      </c>
      <c r="DG9" s="1">
        <v>-151719</v>
      </c>
      <c r="DH9" s="1"/>
      <c r="DI9" s="1">
        <v>-302210</v>
      </c>
      <c r="DJ9" s="1"/>
      <c r="DK9" s="1"/>
      <c r="DL9" s="1">
        <v>-412180</v>
      </c>
      <c r="DM9" s="1">
        <v>-145339</v>
      </c>
      <c r="DN9" s="1"/>
      <c r="DO9" s="1"/>
      <c r="DP9" s="1">
        <v>-251624</v>
      </c>
      <c r="DQ9" s="1">
        <v>-234469</v>
      </c>
      <c r="DR9" s="1">
        <v>-187578</v>
      </c>
      <c r="DS9" s="1">
        <v>-184985</v>
      </c>
      <c r="DT9" s="1"/>
      <c r="DU9" s="1"/>
      <c r="DV9" s="1"/>
      <c r="DW9" s="1">
        <v>-113342</v>
      </c>
      <c r="DX9" s="1"/>
      <c r="DY9" s="1">
        <v>-236000</v>
      </c>
      <c r="DZ9" s="1">
        <v>-143554</v>
      </c>
      <c r="EA9" s="1">
        <v>-171087</v>
      </c>
      <c r="EB9" s="1">
        <v>-197693</v>
      </c>
      <c r="EC9" s="1">
        <v>-166068</v>
      </c>
      <c r="ED9" s="1"/>
      <c r="EE9" s="1">
        <v>-177684</v>
      </c>
      <c r="EF9" s="1"/>
      <c r="EG9" s="1">
        <v>-150876</v>
      </c>
      <c r="EH9" s="1">
        <v>-244362</v>
      </c>
      <c r="EI9" s="1">
        <v>-270387</v>
      </c>
      <c r="EJ9" s="1">
        <v>-184274</v>
      </c>
      <c r="EK9" s="1">
        <v>-883336</v>
      </c>
      <c r="EL9" s="1"/>
      <c r="EM9" s="1">
        <v>-184880</v>
      </c>
      <c r="EN9" s="1">
        <v>-278528</v>
      </c>
      <c r="EO9" s="1"/>
      <c r="EP9" s="1">
        <v>-298090</v>
      </c>
      <c r="EQ9" s="1"/>
      <c r="ER9" s="1">
        <v>-108731</v>
      </c>
      <c r="ES9" s="1">
        <v>-244056</v>
      </c>
      <c r="ET9" s="1">
        <v>-335528</v>
      </c>
      <c r="EU9" s="1">
        <v>-286075</v>
      </c>
      <c r="EV9" s="18">
        <v>-275571</v>
      </c>
      <c r="EW9" s="1">
        <v>-257014</v>
      </c>
      <c r="EX9" s="1"/>
      <c r="EY9" s="1">
        <v>-378755</v>
      </c>
      <c r="EZ9" s="1"/>
      <c r="FA9" s="1">
        <v>-385576</v>
      </c>
      <c r="FB9" s="1">
        <v>-344955</v>
      </c>
      <c r="FC9" s="1">
        <v>-362706</v>
      </c>
      <c r="FD9" s="1"/>
      <c r="FE9" s="1">
        <v>-376837</v>
      </c>
      <c r="FF9" s="1"/>
      <c r="FG9" s="1"/>
      <c r="FH9" s="1"/>
      <c r="FI9" s="1">
        <v>-606304</v>
      </c>
      <c r="FJ9" s="1">
        <v>-168618</v>
      </c>
      <c r="FK9" s="2">
        <v>-284539</v>
      </c>
      <c r="FL9" s="1">
        <v>-451639</v>
      </c>
      <c r="FM9" s="1">
        <v>-274435</v>
      </c>
      <c r="FN9" s="1">
        <v>-703309</v>
      </c>
      <c r="FO9" s="1"/>
      <c r="FP9" s="1"/>
      <c r="FQ9" s="1"/>
      <c r="FR9" s="1">
        <v>-493925</v>
      </c>
      <c r="FS9" s="1"/>
      <c r="FT9" s="1">
        <v>-840674</v>
      </c>
      <c r="FU9" s="1">
        <v>-418204</v>
      </c>
      <c r="FV9" s="41"/>
      <c r="FW9" s="1">
        <v>-70248</v>
      </c>
      <c r="FX9" s="1">
        <v>-535582</v>
      </c>
      <c r="FZ9" s="1"/>
      <c r="GA9" s="1">
        <v>-678157</v>
      </c>
      <c r="GB9" s="1"/>
      <c r="GC9" s="1"/>
      <c r="GE9" s="1"/>
      <c r="GF9" s="1"/>
      <c r="GG9" s="1">
        <v>-775882</v>
      </c>
      <c r="GH9" s="1">
        <v>-228444</v>
      </c>
      <c r="GI9" s="1">
        <v>-521717</v>
      </c>
      <c r="GJ9" s="18">
        <v>-1272247</v>
      </c>
      <c r="GK9" s="1"/>
      <c r="GL9" s="1">
        <v>-568036</v>
      </c>
      <c r="GM9" s="1">
        <v>-339718</v>
      </c>
      <c r="GN9" s="1">
        <v>-682697</v>
      </c>
      <c r="GO9" s="1">
        <v>-1689050</v>
      </c>
      <c r="GP9" s="43"/>
    </row>
    <row r="10" spans="1:198" s="2" customFormat="1" ht="15">
      <c r="A10" s="2" t="s">
        <v>268</v>
      </c>
      <c r="B10" s="40"/>
      <c r="C10" s="40"/>
      <c r="D10" s="1"/>
      <c r="E10" s="1">
        <v>11445</v>
      </c>
      <c r="F10" s="1">
        <v>19764</v>
      </c>
      <c r="G10" s="1"/>
      <c r="H10" s="1"/>
      <c r="I10" s="1"/>
      <c r="J10" s="1"/>
      <c r="K10" s="1"/>
      <c r="L10" s="41">
        <v>127836</v>
      </c>
      <c r="M10" s="1"/>
      <c r="N10" s="1">
        <v>66972</v>
      </c>
      <c r="O10" s="1"/>
      <c r="P10" s="1"/>
      <c r="Q10" s="1"/>
      <c r="R10" s="1"/>
      <c r="S10" s="1"/>
      <c r="T10" s="1"/>
      <c r="U10" s="1"/>
      <c r="V10" s="1">
        <v>124605</v>
      </c>
      <c r="W10" s="1"/>
      <c r="X10" s="1">
        <v>42275</v>
      </c>
      <c r="Y10" s="1">
        <v>28411</v>
      </c>
      <c r="Z10" s="1"/>
      <c r="AA10" s="1">
        <v>64767</v>
      </c>
      <c r="AB10" s="1"/>
      <c r="AC10" s="1">
        <v>137410</v>
      </c>
      <c r="AD10" s="1"/>
      <c r="AE10" s="1">
        <v>41033</v>
      </c>
      <c r="AF10" s="1">
        <v>110637</v>
      </c>
      <c r="AG10" s="1"/>
      <c r="AH10" s="1">
        <v>87303</v>
      </c>
      <c r="AM10" s="1">
        <v>99678</v>
      </c>
      <c r="AN10" s="1">
        <v>100425</v>
      </c>
      <c r="AO10" s="2">
        <v>78640</v>
      </c>
      <c r="AP10" s="2">
        <v>690199</v>
      </c>
      <c r="AQ10" s="1">
        <v>100671</v>
      </c>
      <c r="AR10" s="1"/>
      <c r="AS10" s="1">
        <v>210408</v>
      </c>
      <c r="AT10" s="41">
        <v>66705</v>
      </c>
      <c r="AU10" s="1">
        <v>173077</v>
      </c>
      <c r="AV10" s="1"/>
      <c r="AW10" s="1">
        <v>142710</v>
      </c>
      <c r="AX10" s="1"/>
      <c r="AY10" s="1">
        <v>56690</v>
      </c>
      <c r="AZ10" s="1">
        <v>169075</v>
      </c>
      <c r="BA10" s="1">
        <v>413230</v>
      </c>
      <c r="BB10" s="18"/>
      <c r="BC10" s="18">
        <v>57832</v>
      </c>
      <c r="BD10" s="1">
        <v>139950</v>
      </c>
      <c r="BE10" s="1">
        <v>185725</v>
      </c>
      <c r="BF10" s="1"/>
      <c r="BG10" s="1">
        <v>99150</v>
      </c>
      <c r="BH10" s="1">
        <v>233158</v>
      </c>
      <c r="BI10" s="2">
        <v>112008</v>
      </c>
      <c r="BJ10" s="1"/>
      <c r="BK10" s="1"/>
      <c r="BL10" s="1"/>
      <c r="BM10" s="1">
        <v>76364</v>
      </c>
      <c r="BN10" s="1"/>
      <c r="BO10" s="1"/>
      <c r="BP10" s="1">
        <v>248656</v>
      </c>
      <c r="BQ10" s="1"/>
      <c r="BR10" s="1"/>
      <c r="BS10" s="1">
        <v>337515</v>
      </c>
      <c r="BT10" s="1"/>
      <c r="BU10" s="1">
        <v>129301</v>
      </c>
      <c r="BV10" s="1"/>
      <c r="BW10" s="41">
        <v>146391</v>
      </c>
      <c r="BX10" s="1">
        <v>50000</v>
      </c>
      <c r="BY10" s="1">
        <v>293240</v>
      </c>
      <c r="BZ10" s="1"/>
      <c r="CA10" s="1">
        <v>198078</v>
      </c>
      <c r="CB10" s="1">
        <v>239800</v>
      </c>
      <c r="CC10" s="1"/>
      <c r="CD10" s="1"/>
      <c r="CE10" s="1"/>
      <c r="CF10" s="1"/>
      <c r="CG10" s="1"/>
      <c r="CH10" s="1">
        <v>120008</v>
      </c>
      <c r="CI10" s="1">
        <v>230825</v>
      </c>
      <c r="CJ10" s="1">
        <v>199718</v>
      </c>
      <c r="CK10" s="1">
        <v>162333</v>
      </c>
      <c r="CL10" s="1">
        <v>72951</v>
      </c>
      <c r="CM10" s="1">
        <v>143001</v>
      </c>
      <c r="CN10" s="1">
        <v>146099</v>
      </c>
      <c r="CO10" s="1"/>
      <c r="CP10" s="1">
        <v>360022</v>
      </c>
      <c r="CQ10" s="1">
        <v>171253</v>
      </c>
      <c r="CR10" s="2">
        <v>378014</v>
      </c>
      <c r="CS10" s="1">
        <v>112527</v>
      </c>
      <c r="CT10" s="2">
        <v>142187</v>
      </c>
      <c r="CU10" s="2">
        <v>198704</v>
      </c>
      <c r="CV10" s="1">
        <v>126744</v>
      </c>
      <c r="CW10" s="1">
        <v>155626</v>
      </c>
      <c r="CX10" s="41">
        <v>45275</v>
      </c>
      <c r="CY10" s="1"/>
      <c r="CZ10" s="1"/>
      <c r="DA10" s="1">
        <v>462435</v>
      </c>
      <c r="DB10" s="1"/>
      <c r="DC10" s="1"/>
      <c r="DD10" s="1">
        <f>353559-163050</f>
        <v>190509</v>
      </c>
      <c r="DE10" s="1"/>
      <c r="DF10" s="1">
        <v>98404</v>
      </c>
      <c r="DG10" s="1">
        <v>219757</v>
      </c>
      <c r="DH10" s="1"/>
      <c r="DI10" s="1">
        <v>313689</v>
      </c>
      <c r="DJ10" s="1"/>
      <c r="DK10" s="1"/>
      <c r="DL10" s="1">
        <v>386724</v>
      </c>
      <c r="DM10" s="1"/>
      <c r="DN10" s="1"/>
      <c r="DO10" s="1"/>
      <c r="DP10" s="1"/>
      <c r="DQ10" s="1">
        <v>194682</v>
      </c>
      <c r="DR10" s="1"/>
      <c r="DS10" s="1">
        <v>228609</v>
      </c>
      <c r="DT10" s="1"/>
      <c r="DU10" s="1"/>
      <c r="DV10" s="1"/>
      <c r="DW10" s="1">
        <v>135841</v>
      </c>
      <c r="DX10" s="1"/>
      <c r="DY10" s="1">
        <v>247670</v>
      </c>
      <c r="DZ10" s="1"/>
      <c r="EA10" s="1">
        <v>139996</v>
      </c>
      <c r="EB10" s="1">
        <v>229594</v>
      </c>
      <c r="EC10" s="1">
        <v>132262</v>
      </c>
      <c r="ED10" s="1"/>
      <c r="EE10" s="1">
        <v>176297</v>
      </c>
      <c r="EF10" s="1"/>
      <c r="EG10" s="1">
        <v>83847</v>
      </c>
      <c r="EH10" s="1">
        <v>316977</v>
      </c>
      <c r="EI10" s="1">
        <f>336989-119907</f>
        <v>217082</v>
      </c>
      <c r="EJ10" s="1">
        <v>249550</v>
      </c>
      <c r="EK10" s="1">
        <v>978165</v>
      </c>
      <c r="EL10" s="1">
        <v>26367</v>
      </c>
      <c r="EM10" s="1">
        <v>59879</v>
      </c>
      <c r="EN10" s="1">
        <v>300574</v>
      </c>
      <c r="EO10" s="1"/>
      <c r="EP10" s="1">
        <v>339619</v>
      </c>
      <c r="EQ10" s="1"/>
      <c r="ER10" s="1"/>
      <c r="ES10" s="1">
        <v>239419</v>
      </c>
      <c r="ET10" s="1">
        <v>315743</v>
      </c>
      <c r="EU10" s="1">
        <f>592046-108490</f>
        <v>483556</v>
      </c>
      <c r="EV10" s="18">
        <v>293066</v>
      </c>
      <c r="EW10" s="1"/>
      <c r="EX10" s="1"/>
      <c r="EY10" s="1">
        <v>312432</v>
      </c>
      <c r="EZ10" s="1"/>
      <c r="FA10" s="1">
        <v>353865</v>
      </c>
      <c r="FB10" s="1"/>
      <c r="FC10" s="1">
        <v>324583</v>
      </c>
      <c r="FD10" s="1"/>
      <c r="FE10" s="1">
        <v>404102</v>
      </c>
      <c r="FF10" s="1"/>
      <c r="FG10" s="1"/>
      <c r="FH10" s="1"/>
      <c r="FI10" s="1"/>
      <c r="FJ10" s="1">
        <v>88005</v>
      </c>
      <c r="FK10" s="2">
        <v>250371</v>
      </c>
      <c r="FL10" s="1">
        <v>521256</v>
      </c>
      <c r="FM10" s="1"/>
      <c r="FN10" s="1">
        <v>112035</v>
      </c>
      <c r="FO10" s="1"/>
      <c r="FP10" s="1"/>
      <c r="FQ10" s="1"/>
      <c r="FR10" s="1">
        <v>506394</v>
      </c>
      <c r="FS10" s="1"/>
      <c r="FT10" s="1">
        <v>830410</v>
      </c>
      <c r="FU10" s="1">
        <v>279285</v>
      </c>
      <c r="FV10" s="41"/>
      <c r="FW10" s="1"/>
      <c r="FX10" s="1">
        <v>1157300</v>
      </c>
      <c r="FY10" s="1"/>
      <c r="FZ10" s="1"/>
      <c r="GA10" s="1">
        <v>872716</v>
      </c>
      <c r="GB10" s="1"/>
      <c r="GC10" s="1"/>
      <c r="GD10" s="1"/>
      <c r="GE10" s="1"/>
      <c r="GF10" s="1"/>
      <c r="GG10" s="1">
        <v>750795</v>
      </c>
      <c r="GH10" s="1"/>
      <c r="GI10" s="1">
        <v>452897</v>
      </c>
      <c r="GJ10" s="18">
        <v>1362801</v>
      </c>
      <c r="GK10" s="1"/>
      <c r="GL10" s="1"/>
      <c r="GM10" s="1"/>
      <c r="GN10" s="1">
        <v>1132222</v>
      </c>
      <c r="GO10" s="1">
        <v>1683434</v>
      </c>
      <c r="GP10" s="43"/>
    </row>
    <row r="11" spans="1:198" s="2" customFormat="1" ht="15">
      <c r="A11" s="2" t="s">
        <v>3</v>
      </c>
      <c r="B11" s="40"/>
      <c r="C11" s="40"/>
      <c r="D11" s="1"/>
      <c r="E11" s="1"/>
      <c r="F11" s="1"/>
      <c r="G11" s="1"/>
      <c r="H11" s="1"/>
      <c r="I11" s="1"/>
      <c r="J11" s="1"/>
      <c r="K11" s="1"/>
      <c r="L11" s="4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M11" s="1"/>
      <c r="AN11" s="1"/>
      <c r="AQ11" s="1"/>
      <c r="AR11" s="1"/>
      <c r="AS11" s="1"/>
      <c r="AT11" s="41"/>
      <c r="AU11" s="1"/>
      <c r="AV11" s="1"/>
      <c r="AW11" s="1">
        <v>154139</v>
      </c>
      <c r="AX11" s="1"/>
      <c r="AY11" s="1"/>
      <c r="AZ11" s="1"/>
      <c r="BA11" s="1">
        <v>298807</v>
      </c>
      <c r="BB11" s="18">
        <v>68804</v>
      </c>
      <c r="BC11" s="18"/>
      <c r="BD11" s="1">
        <v>51722</v>
      </c>
      <c r="BE11" s="1"/>
      <c r="BF11" s="1"/>
      <c r="BG11" s="1"/>
      <c r="BH11" s="1">
        <v>106711</v>
      </c>
      <c r="BJ11" s="1"/>
      <c r="BK11" s="1"/>
      <c r="BL11" s="1">
        <v>130493</v>
      </c>
      <c r="BM11" s="1">
        <v>37274</v>
      </c>
      <c r="BN11" s="1">
        <v>109377</v>
      </c>
      <c r="BO11" s="1"/>
      <c r="BP11" s="1"/>
      <c r="BQ11" s="1"/>
      <c r="BR11" s="1"/>
      <c r="BS11" s="1">
        <v>171697</v>
      </c>
      <c r="BT11" s="1"/>
      <c r="BU11" s="1"/>
      <c r="BV11" s="1"/>
      <c r="BW11" s="41"/>
      <c r="BX11" s="1"/>
      <c r="BY11" s="1">
        <v>121063</v>
      </c>
      <c r="BZ11" s="1"/>
      <c r="CA11" s="1"/>
      <c r="CB11" s="1"/>
      <c r="CC11" s="1"/>
      <c r="CD11" s="1"/>
      <c r="CE11" s="1"/>
      <c r="CF11" s="1">
        <v>214872</v>
      </c>
      <c r="CG11" s="1"/>
      <c r="CH11" s="1"/>
      <c r="CI11" s="1"/>
      <c r="CJ11" s="1"/>
      <c r="CK11" s="1"/>
      <c r="CL11" s="1"/>
      <c r="CM11" s="1"/>
      <c r="CN11" s="1"/>
      <c r="CO11" s="1">
        <v>163206</v>
      </c>
      <c r="CP11" s="1"/>
      <c r="CQ11" s="1"/>
      <c r="CR11" s="2">
        <v>123965</v>
      </c>
      <c r="CS11" s="1"/>
      <c r="CU11" s="2">
        <v>87081</v>
      </c>
      <c r="CV11" s="1"/>
      <c r="CW11" s="1"/>
      <c r="CX11" s="41"/>
      <c r="CY11" s="1"/>
      <c r="CZ11" s="1"/>
      <c r="DA11" s="1">
        <v>147919</v>
      </c>
      <c r="DB11" s="1"/>
      <c r="DC11" s="1"/>
      <c r="DD11" s="1"/>
      <c r="DE11" s="1"/>
      <c r="DF11" s="1"/>
      <c r="DG11" s="1"/>
      <c r="DH11" s="1">
        <v>93907</v>
      </c>
      <c r="DI11" s="1"/>
      <c r="DJ11" s="1"/>
      <c r="DK11" s="1"/>
      <c r="DL11" s="1">
        <v>225268</v>
      </c>
      <c r="DM11" s="1"/>
      <c r="DN11" s="1"/>
      <c r="DO11" s="1"/>
      <c r="DP11" s="1"/>
      <c r="DQ11" s="1"/>
      <c r="DR11" s="1">
        <v>94208</v>
      </c>
      <c r="DS11" s="1"/>
      <c r="DT11" s="1"/>
      <c r="DU11" s="1"/>
      <c r="DV11" s="1"/>
      <c r="DW11" s="1"/>
      <c r="DX11" s="1"/>
      <c r="DY11" s="1">
        <v>109259</v>
      </c>
      <c r="DZ11" s="1"/>
      <c r="EA11" s="1"/>
      <c r="EB11" s="1"/>
      <c r="EC11" s="1"/>
      <c r="ED11" s="1">
        <v>79225</v>
      </c>
      <c r="EE11" s="1"/>
      <c r="EF11" s="1"/>
      <c r="EG11" s="1"/>
      <c r="EH11" s="1"/>
      <c r="EI11" s="1"/>
      <c r="EJ11" s="1"/>
      <c r="EK11" s="1">
        <v>509630</v>
      </c>
      <c r="EL11" s="1"/>
      <c r="EM11" s="1"/>
      <c r="EN11" s="1"/>
      <c r="EO11" s="1"/>
      <c r="EP11" s="1"/>
      <c r="EQ11" s="1"/>
      <c r="ER11" s="1"/>
      <c r="ES11" s="1">
        <v>127997</v>
      </c>
      <c r="ET11" s="1"/>
      <c r="EU11" s="1"/>
      <c r="EV11" s="18"/>
      <c r="EW11" s="1">
        <v>160482</v>
      </c>
      <c r="EX11" s="1"/>
      <c r="EY11" s="1"/>
      <c r="EZ11" s="1"/>
      <c r="FA11" s="1"/>
      <c r="FB11" s="1"/>
      <c r="FC11" s="1"/>
      <c r="FD11" s="1">
        <v>178618</v>
      </c>
      <c r="FE11" s="1"/>
      <c r="FF11" s="1">
        <f>183181+236860</f>
        <v>420041</v>
      </c>
      <c r="FG11" s="1"/>
      <c r="FH11" s="1"/>
      <c r="FI11" s="1"/>
      <c r="FJ11" s="1"/>
      <c r="FL11" s="1"/>
      <c r="FM11" s="1"/>
      <c r="FN11" s="1">
        <v>395686</v>
      </c>
      <c r="FO11" s="1"/>
      <c r="FP11" s="1"/>
      <c r="FQ11" s="1"/>
      <c r="FR11" s="1">
        <f>348424+177349</f>
        <v>525773</v>
      </c>
      <c r="FS11" s="1">
        <v>312570</v>
      </c>
      <c r="FT11" s="1"/>
      <c r="FU11" s="1">
        <v>80233</v>
      </c>
      <c r="FV11" s="41"/>
      <c r="FW11" s="1"/>
      <c r="FX11" s="1"/>
      <c r="FY11" s="1"/>
      <c r="FZ11" s="1">
        <v>221588</v>
      </c>
      <c r="GA11" s="1"/>
      <c r="GB11" s="1">
        <v>513838</v>
      </c>
      <c r="GC11" s="1">
        <v>94026</v>
      </c>
      <c r="GD11" s="1"/>
      <c r="GE11" s="1">
        <v>51085</v>
      </c>
      <c r="GF11" s="1"/>
      <c r="GG11" s="1"/>
      <c r="GH11" s="1"/>
      <c r="GI11" s="1">
        <v>465069</v>
      </c>
      <c r="GJ11" s="18"/>
      <c r="GK11" s="1"/>
      <c r="GL11" s="1"/>
      <c r="GM11" s="1"/>
      <c r="GN11" s="1"/>
      <c r="GO11" s="1"/>
      <c r="GP11" s="1"/>
    </row>
    <row r="12" spans="1:198" s="2" customFormat="1" ht="15">
      <c r="A12" s="2" t="s">
        <v>4</v>
      </c>
      <c r="B12" s="40"/>
      <c r="C12" s="40"/>
      <c r="D12" s="1"/>
      <c r="E12" s="1"/>
      <c r="F12" s="1"/>
      <c r="G12" s="1"/>
      <c r="H12" s="1"/>
      <c r="I12" s="1"/>
      <c r="J12" s="1"/>
      <c r="K12" s="1"/>
      <c r="L12" s="4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M12" s="1"/>
      <c r="AN12" s="1"/>
      <c r="AQ12" s="1"/>
      <c r="AR12" s="1"/>
      <c r="AS12" s="1"/>
      <c r="AT12" s="41"/>
      <c r="AU12" s="1"/>
      <c r="AV12" s="1"/>
      <c r="AW12" s="1"/>
      <c r="AX12" s="1"/>
      <c r="AY12" s="1"/>
      <c r="AZ12" s="1"/>
      <c r="BA12" s="1"/>
      <c r="BB12" s="18"/>
      <c r="BC12" s="18"/>
      <c r="BD12" s="1"/>
      <c r="BE12" s="1"/>
      <c r="BF12" s="1"/>
      <c r="BG12" s="1"/>
      <c r="BH12" s="1"/>
      <c r="BJ12" s="1"/>
      <c r="BK12" s="1"/>
      <c r="BL12" s="1">
        <v>39846</v>
      </c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4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S12" s="1"/>
      <c r="CV12" s="1"/>
      <c r="CW12" s="1"/>
      <c r="CX12" s="4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>
        <v>82944</v>
      </c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8"/>
      <c r="EW12" s="1"/>
      <c r="EX12" s="1"/>
      <c r="EY12" s="1"/>
      <c r="EZ12" s="1"/>
      <c r="FA12" s="1"/>
      <c r="FB12" s="1"/>
      <c r="FC12" s="1"/>
      <c r="FD12" s="1"/>
      <c r="FE12" s="1">
        <v>46653</v>
      </c>
      <c r="FF12" s="1"/>
      <c r="FG12" s="1"/>
      <c r="FH12" s="1"/>
      <c r="FI12" s="1"/>
      <c r="FJ12" s="1"/>
      <c r="FL12" s="1"/>
      <c r="FM12" s="1"/>
      <c r="FN12" s="1"/>
      <c r="FO12" s="1"/>
      <c r="FQ12" s="1"/>
      <c r="FR12" s="1"/>
      <c r="FS12" s="1"/>
      <c r="FT12" s="1"/>
      <c r="FU12" s="1"/>
      <c r="FV12" s="4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8"/>
      <c r="GK12" s="1"/>
      <c r="GL12" s="1"/>
      <c r="GM12" s="1"/>
      <c r="GN12" s="1"/>
      <c r="GO12" s="1"/>
      <c r="GP12" s="1"/>
    </row>
    <row r="13" spans="1:199" s="2" customFormat="1" ht="15">
      <c r="A13" s="2" t="s">
        <v>253</v>
      </c>
      <c r="B13" s="40">
        <v>6286</v>
      </c>
      <c r="C13" s="40">
        <v>11895</v>
      </c>
      <c r="D13" s="1"/>
      <c r="E13" s="1"/>
      <c r="F13" s="1"/>
      <c r="G13" s="1"/>
      <c r="H13" s="1"/>
      <c r="I13" s="1">
        <v>293526</v>
      </c>
      <c r="J13" s="1">
        <v>42733</v>
      </c>
      <c r="K13" s="1">
        <v>21216</v>
      </c>
      <c r="L13" s="41"/>
      <c r="M13" s="1"/>
      <c r="N13" s="1">
        <f>52750-250</f>
        <v>52500</v>
      </c>
      <c r="O13" s="1">
        <v>15341</v>
      </c>
      <c r="P13" s="1">
        <v>40880</v>
      </c>
      <c r="Q13" s="1"/>
      <c r="R13" s="1"/>
      <c r="S13" s="1">
        <v>20500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>
        <v>8901</v>
      </c>
      <c r="AF13" s="1">
        <f>46882+301800-241440</f>
        <v>107242</v>
      </c>
      <c r="AG13" s="1"/>
      <c r="AH13" s="1">
        <v>122506</v>
      </c>
      <c r="AI13" s="2">
        <v>4318</v>
      </c>
      <c r="AJ13" s="2">
        <v>29737</v>
      </c>
      <c r="AM13" s="1">
        <v>37841</v>
      </c>
      <c r="AN13" s="1">
        <f>221890+3832-190124</f>
        <v>35598</v>
      </c>
      <c r="AQ13" s="1"/>
      <c r="AR13" s="1"/>
      <c r="AS13" s="1">
        <v>599335</v>
      </c>
      <c r="AT13" s="41"/>
      <c r="AU13" s="1">
        <v>188572</v>
      </c>
      <c r="AV13" s="1">
        <v>12300</v>
      </c>
      <c r="AW13" s="1">
        <v>1030089</v>
      </c>
      <c r="AX13" s="1"/>
      <c r="AY13" s="1">
        <v>25775</v>
      </c>
      <c r="AZ13" s="1">
        <v>78272</v>
      </c>
      <c r="BA13" s="1"/>
      <c r="BB13" s="18"/>
      <c r="BC13" s="18">
        <v>34500</v>
      </c>
      <c r="BD13" s="1">
        <v>564606</v>
      </c>
      <c r="BE13" s="1">
        <v>148799</v>
      </c>
      <c r="BF13" s="1"/>
      <c r="BG13" s="1">
        <v>7101</v>
      </c>
      <c r="BH13" s="1"/>
      <c r="BJ13" s="1"/>
      <c r="BK13" s="1">
        <v>8576</v>
      </c>
      <c r="BL13" s="1">
        <v>1526645</v>
      </c>
      <c r="BM13" s="1">
        <v>183614</v>
      </c>
      <c r="BN13" s="1"/>
      <c r="BO13" s="1">
        <v>114609</v>
      </c>
      <c r="BP13" s="1">
        <f>27193+3924</f>
        <v>31117</v>
      </c>
      <c r="BQ13" s="1"/>
      <c r="BR13" s="1">
        <v>22079</v>
      </c>
      <c r="BS13" s="1">
        <v>1267811</v>
      </c>
      <c r="BT13" s="1"/>
      <c r="BU13" s="1"/>
      <c r="BV13" s="1">
        <v>36124</v>
      </c>
      <c r="BW13" s="41"/>
      <c r="BX13" s="1">
        <v>30404</v>
      </c>
      <c r="BY13" s="1"/>
      <c r="BZ13" s="1">
        <v>26088</v>
      </c>
      <c r="CA13" s="1"/>
      <c r="CB13" s="1"/>
      <c r="CC13" s="1">
        <v>56725</v>
      </c>
      <c r="CD13" s="1">
        <v>57409</v>
      </c>
      <c r="CE13" s="1">
        <v>21761</v>
      </c>
      <c r="CF13" s="1">
        <f>80473</f>
        <v>80473</v>
      </c>
      <c r="CG13" s="1"/>
      <c r="CH13" s="1"/>
      <c r="CI13" s="1"/>
      <c r="CJ13" s="1">
        <v>58671</v>
      </c>
      <c r="CK13" s="1"/>
      <c r="CL13" s="1">
        <v>81898</v>
      </c>
      <c r="CM13" s="1">
        <v>242279</v>
      </c>
      <c r="CN13" s="1"/>
      <c r="CO13" s="1">
        <v>390222</v>
      </c>
      <c r="CP13" s="1"/>
      <c r="CQ13" s="1"/>
      <c r="CR13" s="2">
        <v>1882458</v>
      </c>
      <c r="CS13" s="1">
        <v>428826</v>
      </c>
      <c r="CT13" s="2">
        <v>584805</v>
      </c>
      <c r="CU13" s="2">
        <v>135736</v>
      </c>
      <c r="CV13" s="1"/>
      <c r="CW13" s="1">
        <f>154303+38561</f>
        <v>192864</v>
      </c>
      <c r="CX13" s="41"/>
      <c r="CY13" s="1">
        <v>24024</v>
      </c>
      <c r="CZ13" s="1"/>
      <c r="DA13" s="1"/>
      <c r="DB13" s="1">
        <v>2360</v>
      </c>
      <c r="DC13" s="1">
        <v>101471</v>
      </c>
      <c r="DD13" s="1">
        <v>97966</v>
      </c>
      <c r="DE13" s="1">
        <v>26260</v>
      </c>
      <c r="DF13" s="1"/>
      <c r="DG13" s="1"/>
      <c r="DH13" s="1">
        <v>117899</v>
      </c>
      <c r="DI13" s="1"/>
      <c r="DJ13" s="1">
        <v>71301</v>
      </c>
      <c r="DK13" s="1">
        <v>69013</v>
      </c>
      <c r="DL13" s="1">
        <v>1573980</v>
      </c>
      <c r="DM13" s="1"/>
      <c r="DN13" s="1">
        <v>11916</v>
      </c>
      <c r="DO13" s="1">
        <v>78057</v>
      </c>
      <c r="DP13" s="1">
        <v>3600000</v>
      </c>
      <c r="DQ13" s="1">
        <v>52698</v>
      </c>
      <c r="DR13" s="1">
        <v>460277</v>
      </c>
      <c r="DS13" s="1">
        <v>142113</v>
      </c>
      <c r="DT13" s="1">
        <v>39385</v>
      </c>
      <c r="DU13" s="1">
        <f>39397+18306</f>
        <v>57703</v>
      </c>
      <c r="DV13" s="1">
        <v>21600</v>
      </c>
      <c r="DW13" s="1"/>
      <c r="DX13" s="1">
        <f>2744444-2611836</f>
        <v>132608</v>
      </c>
      <c r="DY13" s="1">
        <v>425428</v>
      </c>
      <c r="DZ13" s="1">
        <v>147682</v>
      </c>
      <c r="EA13" s="1">
        <v>38861</v>
      </c>
      <c r="EB13" s="1">
        <v>187274</v>
      </c>
      <c r="EC13" s="1"/>
      <c r="ED13" s="1">
        <v>54886</v>
      </c>
      <c r="EE13" s="1">
        <f>530907+51000</f>
        <v>581907</v>
      </c>
      <c r="EF13" s="1"/>
      <c r="EG13" s="1">
        <v>170500</v>
      </c>
      <c r="EH13" s="1">
        <v>335049</v>
      </c>
      <c r="EI13" s="1"/>
      <c r="EJ13" s="1">
        <v>258609</v>
      </c>
      <c r="EK13" s="1"/>
      <c r="EL13" s="1"/>
      <c r="EM13" s="1">
        <f>113064+12091+66499</f>
        <v>191654</v>
      </c>
      <c r="EN13" s="1">
        <v>206524</v>
      </c>
      <c r="EO13" s="1"/>
      <c r="EP13" s="1"/>
      <c r="EQ13" s="1">
        <v>57307</v>
      </c>
      <c r="ER13" s="1">
        <f>906864+75620</f>
        <v>982484</v>
      </c>
      <c r="ES13" s="1">
        <f>686011+30640</f>
        <v>716651</v>
      </c>
      <c r="ET13" s="1">
        <f>315000+171649+4258</f>
        <v>490907</v>
      </c>
      <c r="EU13" s="1">
        <f>290964+327782-288913+807</f>
        <v>330640</v>
      </c>
      <c r="EV13" s="18">
        <v>237909</v>
      </c>
      <c r="EW13" s="1">
        <v>922512</v>
      </c>
      <c r="EX13" s="1">
        <v>123504</v>
      </c>
      <c r="EY13" s="1">
        <v>144456</v>
      </c>
      <c r="EZ13" s="1">
        <v>47386</v>
      </c>
      <c r="FA13" s="1">
        <v>381679</v>
      </c>
      <c r="FB13" s="1"/>
      <c r="FC13" s="1">
        <v>203347</v>
      </c>
      <c r="FD13" s="1">
        <v>100172</v>
      </c>
      <c r="FE13" s="1">
        <v>1101788</v>
      </c>
      <c r="FF13" s="1">
        <f>72414+12600</f>
        <v>85014</v>
      </c>
      <c r="FG13" s="1">
        <v>28800</v>
      </c>
      <c r="FH13" s="1"/>
      <c r="FI13" s="1">
        <f>35330+19909</f>
        <v>55239</v>
      </c>
      <c r="FJ13" s="1">
        <v>171512</v>
      </c>
      <c r="FK13" s="2">
        <v>7109</v>
      </c>
      <c r="FL13" s="1">
        <f>1506755-59682+96000</f>
        <v>1543073</v>
      </c>
      <c r="FM13" s="1">
        <v>19679</v>
      </c>
      <c r="FN13" s="1">
        <f>225699+76300</f>
        <v>301999</v>
      </c>
      <c r="FO13" s="1">
        <v>261348</v>
      </c>
      <c r="FP13" s="1"/>
      <c r="FQ13" s="1"/>
      <c r="FR13" s="1">
        <v>1343785</v>
      </c>
      <c r="FS13" s="1">
        <f>199477+193404</f>
        <v>392881</v>
      </c>
      <c r="FT13" s="1">
        <v>321122</v>
      </c>
      <c r="FU13" s="1">
        <v>28907</v>
      </c>
      <c r="FV13" s="41"/>
      <c r="FW13" s="1">
        <v>85490</v>
      </c>
      <c r="FX13" s="1">
        <v>2628755</v>
      </c>
      <c r="FY13" s="1">
        <f>7163+20747</f>
        <v>27910</v>
      </c>
      <c r="FZ13" s="2">
        <v>69842</v>
      </c>
      <c r="GA13" s="2">
        <v>1272779</v>
      </c>
      <c r="GB13" s="2">
        <f>358908+130116</f>
        <v>489024</v>
      </c>
      <c r="GC13" s="2">
        <v>550972</v>
      </c>
      <c r="GD13" s="1">
        <v>414393</v>
      </c>
      <c r="GE13" s="2">
        <f>9335+22545</f>
        <v>31880</v>
      </c>
      <c r="GG13" s="1">
        <v>92947</v>
      </c>
      <c r="GH13" s="1">
        <v>1142271</v>
      </c>
      <c r="GI13" s="1">
        <v>71690</v>
      </c>
      <c r="GJ13" s="18">
        <v>453196</v>
      </c>
      <c r="GK13" s="1">
        <v>228336</v>
      </c>
      <c r="GL13" s="1">
        <v>47444</v>
      </c>
      <c r="GM13" s="1"/>
      <c r="GN13" s="1">
        <f>21600+121710</f>
        <v>143310</v>
      </c>
      <c r="GO13" s="1">
        <f>1841858+1265201-331648</f>
        <v>2775411</v>
      </c>
      <c r="GP13" s="1">
        <v>632788</v>
      </c>
      <c r="GQ13" s="1"/>
    </row>
    <row r="14" spans="1:198" s="2" customFormat="1" ht="15">
      <c r="A14" s="2" t="s">
        <v>5</v>
      </c>
      <c r="B14" s="40"/>
      <c r="C14" s="40">
        <v>600</v>
      </c>
      <c r="D14" s="1"/>
      <c r="E14" s="1"/>
      <c r="F14" s="1"/>
      <c r="G14" s="1">
        <v>25</v>
      </c>
      <c r="H14" s="1"/>
      <c r="I14" s="1">
        <v>400</v>
      </c>
      <c r="J14" s="1"/>
      <c r="K14" s="1">
        <v>2500</v>
      </c>
      <c r="L14" s="41"/>
      <c r="M14" s="1"/>
      <c r="N14" s="1">
        <v>95</v>
      </c>
      <c r="O14" s="1"/>
      <c r="P14" s="1"/>
      <c r="Q14" s="1">
        <v>100</v>
      </c>
      <c r="R14" s="1"/>
      <c r="S14" s="1">
        <v>860</v>
      </c>
      <c r="T14" s="1"/>
      <c r="U14" s="1"/>
      <c r="V14" s="1"/>
      <c r="W14" s="1">
        <v>1470</v>
      </c>
      <c r="X14" s="1">
        <v>400</v>
      </c>
      <c r="Y14" s="1">
        <v>700</v>
      </c>
      <c r="Z14" s="1"/>
      <c r="AA14" s="1">
        <v>1751</v>
      </c>
      <c r="AB14" s="1"/>
      <c r="AC14" s="1">
        <v>17377</v>
      </c>
      <c r="AD14" s="1">
        <v>6461</v>
      </c>
      <c r="AE14" s="1">
        <v>1625</v>
      </c>
      <c r="AF14" s="1">
        <v>850</v>
      </c>
      <c r="AG14" s="1"/>
      <c r="AH14" s="1">
        <v>600</v>
      </c>
      <c r="AI14" s="1">
        <v>2500</v>
      </c>
      <c r="AJ14" s="1">
        <v>2000</v>
      </c>
      <c r="AK14" s="1">
        <v>2957</v>
      </c>
      <c r="AL14" s="1"/>
      <c r="AM14" s="1"/>
      <c r="AN14" s="1">
        <v>8600</v>
      </c>
      <c r="AO14" s="1">
        <v>481</v>
      </c>
      <c r="AP14" s="1"/>
      <c r="AQ14" s="1">
        <v>3375</v>
      </c>
      <c r="AR14" s="1">
        <v>950</v>
      </c>
      <c r="AS14" s="1"/>
      <c r="AT14" s="41"/>
      <c r="AU14" s="1"/>
      <c r="AV14" s="1">
        <v>950</v>
      </c>
      <c r="AW14" s="1">
        <v>4053</v>
      </c>
      <c r="AX14" s="1">
        <v>250</v>
      </c>
      <c r="AY14" s="1">
        <v>300</v>
      </c>
      <c r="AZ14" s="1">
        <v>1224</v>
      </c>
      <c r="BA14" s="1">
        <v>1249</v>
      </c>
      <c r="BB14" s="18"/>
      <c r="BC14" s="18">
        <v>400</v>
      </c>
      <c r="BD14" s="1">
        <v>15953</v>
      </c>
      <c r="BE14" s="1">
        <v>1050</v>
      </c>
      <c r="BF14" s="1">
        <v>4103</v>
      </c>
      <c r="BG14" s="1">
        <v>1177</v>
      </c>
      <c r="BH14" s="1">
        <v>3300</v>
      </c>
      <c r="BI14" s="2">
        <v>4382</v>
      </c>
      <c r="BJ14" s="1"/>
      <c r="BK14" s="1">
        <v>12387</v>
      </c>
      <c r="BL14" s="1">
        <v>4460</v>
      </c>
      <c r="BM14" s="1">
        <v>1300</v>
      </c>
      <c r="BN14" s="1">
        <f>3450+1753</f>
        <v>5203</v>
      </c>
      <c r="BO14" s="1">
        <v>3050</v>
      </c>
      <c r="BP14" s="1">
        <v>10400</v>
      </c>
      <c r="BQ14" s="1">
        <v>650</v>
      </c>
      <c r="BR14" s="1" t="s">
        <v>50</v>
      </c>
      <c r="BS14" s="1">
        <v>1300</v>
      </c>
      <c r="BT14" s="1">
        <v>529</v>
      </c>
      <c r="BU14" s="1">
        <v>925</v>
      </c>
      <c r="BV14" s="1">
        <v>14480</v>
      </c>
      <c r="BW14" s="41"/>
      <c r="BX14" s="1"/>
      <c r="BY14" s="1">
        <v>1125</v>
      </c>
      <c r="BZ14" s="1"/>
      <c r="CA14" s="1">
        <v>701</v>
      </c>
      <c r="CB14" s="1">
        <v>40</v>
      </c>
      <c r="CC14" s="1">
        <v>1638</v>
      </c>
      <c r="CD14" s="1">
        <v>4817</v>
      </c>
      <c r="CE14" s="1">
        <v>5962</v>
      </c>
      <c r="CF14" s="1">
        <v>3600</v>
      </c>
      <c r="CG14" s="1">
        <v>634</v>
      </c>
      <c r="CH14" s="1">
        <v>1450</v>
      </c>
      <c r="CI14" s="1">
        <v>900</v>
      </c>
      <c r="CJ14" s="1"/>
      <c r="CK14" s="1">
        <v>1200</v>
      </c>
      <c r="CL14" s="1">
        <v>1770</v>
      </c>
      <c r="CM14" s="1">
        <v>2025</v>
      </c>
      <c r="CN14" s="1">
        <v>4355</v>
      </c>
      <c r="CO14" s="1">
        <v>4703</v>
      </c>
      <c r="CP14" s="1">
        <v>3550</v>
      </c>
      <c r="CQ14" s="1"/>
      <c r="CR14" s="1">
        <v>63044</v>
      </c>
      <c r="CS14" s="1">
        <v>1078</v>
      </c>
      <c r="CT14" s="1">
        <v>4500</v>
      </c>
      <c r="CU14" s="1">
        <v>650</v>
      </c>
      <c r="CV14" s="1">
        <v>4425</v>
      </c>
      <c r="CW14" s="1">
        <v>159</v>
      </c>
      <c r="CX14" s="41">
        <v>750</v>
      </c>
      <c r="CY14" s="1"/>
      <c r="CZ14" s="1">
        <v>733</v>
      </c>
      <c r="DA14" s="1">
        <v>1900</v>
      </c>
      <c r="DB14" s="1"/>
      <c r="DC14" s="1">
        <v>2600</v>
      </c>
      <c r="DD14" s="1">
        <v>2200</v>
      </c>
      <c r="DE14" s="1">
        <v>600</v>
      </c>
      <c r="DF14" s="1">
        <v>2500</v>
      </c>
      <c r="DG14" s="1">
        <v>1250</v>
      </c>
      <c r="DH14" s="1">
        <v>2400</v>
      </c>
      <c r="DI14" s="1">
        <v>1011</v>
      </c>
      <c r="DJ14" s="1">
        <v>7800</v>
      </c>
      <c r="DK14" s="1">
        <v>7260</v>
      </c>
      <c r="DL14" s="1">
        <v>21045</v>
      </c>
      <c r="DM14" s="1">
        <v>2400</v>
      </c>
      <c r="DN14" s="1">
        <v>348</v>
      </c>
      <c r="DO14" s="1">
        <v>3000</v>
      </c>
      <c r="DP14" s="1">
        <v>10109</v>
      </c>
      <c r="DQ14" s="1"/>
      <c r="DR14" s="1">
        <v>291</v>
      </c>
      <c r="DS14" s="1">
        <v>1650</v>
      </c>
      <c r="DT14" s="1">
        <v>1655</v>
      </c>
      <c r="DU14" s="1">
        <v>9515</v>
      </c>
      <c r="DV14" s="1">
        <f>3692+3650</f>
        <v>7342</v>
      </c>
      <c r="DW14" s="1">
        <v>6600</v>
      </c>
      <c r="DX14" s="1"/>
      <c r="DY14" s="1">
        <v>450</v>
      </c>
      <c r="DZ14" s="1">
        <v>1428</v>
      </c>
      <c r="EA14" s="1">
        <v>5692</v>
      </c>
      <c r="EB14" s="1">
        <v>12967</v>
      </c>
      <c r="EC14" s="1">
        <v>1650</v>
      </c>
      <c r="ED14" s="1">
        <v>79</v>
      </c>
      <c r="EE14" s="1">
        <v>3270</v>
      </c>
      <c r="EF14" s="1">
        <v>2541</v>
      </c>
      <c r="EG14" s="1"/>
      <c r="EH14" s="1">
        <v>4254</v>
      </c>
      <c r="EI14" s="1">
        <v>3275</v>
      </c>
      <c r="EJ14" s="1">
        <v>2438</v>
      </c>
      <c r="EK14" s="1"/>
      <c r="EL14" s="1">
        <v>8594</v>
      </c>
      <c r="EM14" s="1">
        <v>400</v>
      </c>
      <c r="EN14" s="1">
        <v>1650</v>
      </c>
      <c r="EO14" s="1">
        <v>4157</v>
      </c>
      <c r="EP14" s="1">
        <v>3450</v>
      </c>
      <c r="EQ14" s="1">
        <v>1499</v>
      </c>
      <c r="ER14" s="1">
        <v>22200</v>
      </c>
      <c r="ES14" s="1">
        <v>12900</v>
      </c>
      <c r="ET14" s="1">
        <v>7877</v>
      </c>
      <c r="EU14" s="1">
        <v>3000</v>
      </c>
      <c r="EV14" s="18">
        <v>3150</v>
      </c>
      <c r="EW14" s="1">
        <v>53919</v>
      </c>
      <c r="EX14" s="1">
        <v>2410</v>
      </c>
      <c r="EY14" s="1">
        <v>4500</v>
      </c>
      <c r="EZ14" s="1">
        <v>2740</v>
      </c>
      <c r="FA14" s="1">
        <v>700</v>
      </c>
      <c r="FB14" s="1">
        <v>7100</v>
      </c>
      <c r="FC14" s="1">
        <v>1395</v>
      </c>
      <c r="FD14" s="1">
        <v>59150</v>
      </c>
      <c r="FE14" s="1">
        <v>10099</v>
      </c>
      <c r="FF14" s="1">
        <v>29051</v>
      </c>
      <c r="FG14" s="1">
        <v>9050</v>
      </c>
      <c r="FH14" s="1">
        <v>54040</v>
      </c>
      <c r="FI14" s="1">
        <v>45799</v>
      </c>
      <c r="FJ14" s="1">
        <v>976</v>
      </c>
      <c r="FK14" s="2">
        <v>11361</v>
      </c>
      <c r="FL14" s="1">
        <v>6400</v>
      </c>
      <c r="FM14" s="1">
        <v>1755</v>
      </c>
      <c r="FN14" s="1">
        <v>14797</v>
      </c>
      <c r="FO14" s="1">
        <v>48553</v>
      </c>
      <c r="FP14" s="1">
        <v>14100</v>
      </c>
      <c r="FQ14" s="1">
        <v>5000</v>
      </c>
      <c r="FR14" s="1">
        <v>8400</v>
      </c>
      <c r="FS14" s="1">
        <v>28112</v>
      </c>
      <c r="FT14" s="1">
        <v>6600</v>
      </c>
      <c r="FU14" s="1">
        <v>3200</v>
      </c>
      <c r="FV14" s="41"/>
      <c r="FW14" s="1">
        <v>300</v>
      </c>
      <c r="FX14" s="1">
        <v>4100</v>
      </c>
      <c r="FY14" s="1">
        <v>16336</v>
      </c>
      <c r="FZ14" s="1">
        <v>28839</v>
      </c>
      <c r="GA14" s="1">
        <v>6327</v>
      </c>
      <c r="GB14" s="1">
        <v>22691</v>
      </c>
      <c r="GC14" s="1">
        <v>12219</v>
      </c>
      <c r="GD14" s="1"/>
      <c r="GE14" s="1">
        <v>16219</v>
      </c>
      <c r="GF14" s="1">
        <v>7288</v>
      </c>
      <c r="GG14" s="1">
        <v>15733</v>
      </c>
      <c r="GH14" s="1">
        <v>2049</v>
      </c>
      <c r="GI14" s="1">
        <v>10904</v>
      </c>
      <c r="GJ14" s="18">
        <v>1746</v>
      </c>
      <c r="GK14" s="1">
        <v>20250</v>
      </c>
      <c r="GL14" s="1">
        <v>5300</v>
      </c>
      <c r="GM14" s="1">
        <v>12700</v>
      </c>
      <c r="GN14" s="1">
        <v>16275</v>
      </c>
      <c r="GO14" s="1">
        <v>8264</v>
      </c>
      <c r="GP14" s="1">
        <v>17085</v>
      </c>
    </row>
    <row r="15" spans="1:198" s="2" customFormat="1" ht="15">
      <c r="A15" s="2" t="s">
        <v>6</v>
      </c>
      <c r="B15" s="40"/>
      <c r="C15" s="40"/>
      <c r="D15" s="1"/>
      <c r="E15" s="1"/>
      <c r="F15" s="1"/>
      <c r="G15" s="1"/>
      <c r="H15" s="1"/>
      <c r="I15" s="1"/>
      <c r="J15" s="1"/>
      <c r="K15" s="1"/>
      <c r="L15" s="4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41"/>
      <c r="AU15" s="1"/>
      <c r="AV15" s="1"/>
      <c r="AW15" s="1"/>
      <c r="AX15" s="1"/>
      <c r="AY15" s="1"/>
      <c r="AZ15" s="1"/>
      <c r="BA15" s="1"/>
      <c r="BB15" s="18"/>
      <c r="BC15" s="18"/>
      <c r="BD15" s="1"/>
      <c r="BE15" s="1"/>
      <c r="BF15" s="1"/>
      <c r="BG15" s="1"/>
      <c r="BH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4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41">
        <v>21000</v>
      </c>
      <c r="CY15" s="1"/>
      <c r="CZ15" s="1"/>
      <c r="DA15" s="1"/>
      <c r="DB15" s="1"/>
      <c r="DC15" s="1"/>
      <c r="DD15" s="1"/>
      <c r="DE15" s="1" t="s">
        <v>50</v>
      </c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>
        <v>44625</v>
      </c>
      <c r="DZ15" s="1"/>
      <c r="EA15" s="1"/>
      <c r="EB15" s="1"/>
      <c r="EC15" s="1"/>
      <c r="ED15" s="1"/>
      <c r="EE15" s="1"/>
      <c r="EF15" s="1">
        <v>123245</v>
      </c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8">
        <v>127835</v>
      </c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>
        <v>43678</v>
      </c>
      <c r="FL15" s="1"/>
      <c r="FM15" s="1"/>
      <c r="FN15" s="1"/>
      <c r="FO15" s="1"/>
      <c r="FP15" s="1"/>
      <c r="FQ15" s="1"/>
      <c r="FR15" s="1">
        <v>175650</v>
      </c>
      <c r="FS15" s="1"/>
      <c r="FT15" s="1">
        <v>453720</v>
      </c>
      <c r="FU15" s="1">
        <v>121685</v>
      </c>
      <c r="FV15" s="41"/>
      <c r="FW15" s="1"/>
      <c r="FX15" s="1"/>
      <c r="FY15" s="1"/>
      <c r="FZ15" s="1"/>
      <c r="GA15" s="1"/>
      <c r="GB15" s="1"/>
      <c r="GC15" s="1"/>
      <c r="GD15" s="1"/>
      <c r="GE15" s="1"/>
      <c r="GF15" s="1">
        <v>225681</v>
      </c>
      <c r="GG15" s="1"/>
      <c r="GH15" s="1"/>
      <c r="GI15" s="1"/>
      <c r="GJ15" s="18"/>
      <c r="GK15" s="1"/>
      <c r="GL15" s="1"/>
      <c r="GM15" s="1">
        <v>170508</v>
      </c>
      <c r="GN15" s="1"/>
      <c r="GO15" s="1">
        <v>1001168</v>
      </c>
      <c r="GP15" s="1"/>
    </row>
    <row r="16" spans="1:198" s="2" customFormat="1" ht="15">
      <c r="A16" s="2" t="s">
        <v>31</v>
      </c>
      <c r="B16" s="40"/>
      <c r="C16" s="40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>
        <v>11427</v>
      </c>
      <c r="AQ16" s="1">
        <v>5200</v>
      </c>
      <c r="AR16" s="1"/>
      <c r="AS16" s="1"/>
      <c r="AT16" s="41"/>
      <c r="AU16" s="1"/>
      <c r="AV16" s="1"/>
      <c r="AW16" s="1"/>
      <c r="AX16" s="1"/>
      <c r="AY16" s="1"/>
      <c r="AZ16" s="1"/>
      <c r="BA16" s="1"/>
      <c r="BB16" s="18">
        <v>102239</v>
      </c>
      <c r="BC16" s="18"/>
      <c r="BD16" s="1"/>
      <c r="BE16" s="1"/>
      <c r="BF16" s="1"/>
      <c r="BG16" s="1"/>
      <c r="BH16" s="1">
        <v>5000</v>
      </c>
      <c r="BJ16" s="1"/>
      <c r="BK16" s="1"/>
      <c r="BL16" s="1"/>
      <c r="BM16" s="1"/>
      <c r="BN16" s="1"/>
      <c r="BO16" s="1"/>
      <c r="BP16" s="1">
        <v>16792</v>
      </c>
      <c r="BQ16" s="1">
        <v>5000</v>
      </c>
      <c r="BR16" s="1"/>
      <c r="BS16" s="1">
        <v>15500</v>
      </c>
      <c r="BT16" s="1"/>
      <c r="BU16" s="1"/>
      <c r="BV16" s="1"/>
      <c r="BW16" s="41"/>
      <c r="BX16" s="1"/>
      <c r="BY16" s="1">
        <v>15100</v>
      </c>
      <c r="BZ16" s="1"/>
      <c r="CA16" s="1"/>
      <c r="CB16" s="1"/>
      <c r="CC16" s="1"/>
      <c r="CD16" s="1"/>
      <c r="CE16" s="1"/>
      <c r="CF16" s="1"/>
      <c r="CG16" s="1"/>
      <c r="CH16" s="1"/>
      <c r="CI16" s="1">
        <v>21500</v>
      </c>
      <c r="CJ16" s="1"/>
      <c r="CK16" s="1"/>
      <c r="CL16" s="1"/>
      <c r="CM16" s="1"/>
      <c r="CN16" s="1"/>
      <c r="CO16" s="1">
        <v>57160</v>
      </c>
      <c r="CP16" s="1"/>
      <c r="CQ16" s="1"/>
      <c r="CR16" s="1">
        <v>33825</v>
      </c>
      <c r="CS16" s="1"/>
      <c r="CT16" s="1"/>
      <c r="CU16" s="1"/>
      <c r="CV16" s="1"/>
      <c r="CW16" s="1"/>
      <c r="CX16" s="41"/>
      <c r="CY16" s="1"/>
      <c r="CZ16" s="1"/>
      <c r="DA16" s="1"/>
      <c r="DB16" s="1"/>
      <c r="DC16" s="1"/>
      <c r="DD16" s="1"/>
      <c r="DE16" s="1"/>
      <c r="DF16" s="1"/>
      <c r="DG16" s="1">
        <v>9875</v>
      </c>
      <c r="DH16" s="1"/>
      <c r="DI16" s="1"/>
      <c r="DJ16" s="1">
        <v>3800</v>
      </c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>
        <v>19850</v>
      </c>
      <c r="EI16" s="1"/>
      <c r="EJ16" s="1"/>
      <c r="EK16" s="1">
        <v>74925</v>
      </c>
      <c r="EL16" s="1"/>
      <c r="EM16" s="1"/>
      <c r="EN16" s="1"/>
      <c r="EO16" s="1">
        <v>1675</v>
      </c>
      <c r="EP16" s="1">
        <v>2000</v>
      </c>
      <c r="EQ16" s="1"/>
      <c r="ER16" s="1"/>
      <c r="ES16" s="1"/>
      <c r="ET16" s="1"/>
      <c r="EU16" s="1">
        <v>12026</v>
      </c>
      <c r="EV16" s="18"/>
      <c r="EW16" s="1"/>
      <c r="EX16" s="1"/>
      <c r="EY16" s="1"/>
      <c r="EZ16" s="1"/>
      <c r="FA16" s="1"/>
      <c r="FB16" s="1"/>
      <c r="FC16" s="1"/>
      <c r="FD16" s="1">
        <v>28789</v>
      </c>
      <c r="FE16" s="1"/>
      <c r="FF16" s="1"/>
      <c r="FG16" s="1"/>
      <c r="FH16" s="1"/>
      <c r="FI16" s="1"/>
      <c r="FJ16" s="1"/>
      <c r="FL16" s="1"/>
      <c r="FM16" s="1"/>
      <c r="FN16" s="1"/>
      <c r="FO16" s="1">
        <v>12050</v>
      </c>
      <c r="FP16" s="1"/>
      <c r="FQ16" s="1"/>
      <c r="FR16" s="1"/>
      <c r="FS16" s="1"/>
      <c r="FT16" s="1">
        <v>34003</v>
      </c>
      <c r="FU16" s="1"/>
      <c r="FV16" s="41"/>
      <c r="FW16" s="1"/>
      <c r="FX16" s="1"/>
      <c r="FY16" s="1">
        <v>43353</v>
      </c>
      <c r="FZ16" s="1"/>
      <c r="GA16" s="1">
        <v>84890</v>
      </c>
      <c r="GB16" s="1"/>
      <c r="GC16" s="1"/>
      <c r="GD16" s="1"/>
      <c r="GE16" s="1"/>
      <c r="GF16" s="1">
        <v>34978</v>
      </c>
      <c r="GG16" s="1"/>
      <c r="GH16" s="1">
        <v>27092</v>
      </c>
      <c r="GI16" s="1">
        <v>56342</v>
      </c>
      <c r="GJ16" s="18">
        <v>70355</v>
      </c>
      <c r="GK16" s="1"/>
      <c r="GL16" s="1">
        <v>1425</v>
      </c>
      <c r="GM16" s="1">
        <v>32376</v>
      </c>
      <c r="GN16" s="1">
        <v>119768</v>
      </c>
      <c r="GO16" s="1">
        <v>176275</v>
      </c>
      <c r="GP16" s="1"/>
    </row>
    <row r="17" spans="1:198" s="2" customFormat="1" ht="15">
      <c r="A17" s="2" t="s">
        <v>7</v>
      </c>
      <c r="B17" s="40"/>
      <c r="C17" s="40"/>
      <c r="D17" s="1"/>
      <c r="E17" s="1"/>
      <c r="F17" s="1"/>
      <c r="G17" s="1"/>
      <c r="H17" s="1"/>
      <c r="I17" s="1"/>
      <c r="J17" s="1"/>
      <c r="K17" s="1"/>
      <c r="L17" s="41"/>
      <c r="M17" s="1"/>
      <c r="N17" s="1"/>
      <c r="O17" s="1"/>
      <c r="P17" s="1"/>
      <c r="Q17" s="1"/>
      <c r="R17" s="1"/>
      <c r="S17" s="1"/>
      <c r="T17" s="1"/>
      <c r="U17" s="1">
        <v>601</v>
      </c>
      <c r="V17" s="1"/>
      <c r="W17" s="1"/>
      <c r="X17" s="1">
        <v>719</v>
      </c>
      <c r="Y17" s="1">
        <v>1250</v>
      </c>
      <c r="Z17" s="1"/>
      <c r="AA17" s="1">
        <v>6200</v>
      </c>
      <c r="AB17" s="1"/>
      <c r="AC17" s="1"/>
      <c r="AD17" s="1"/>
      <c r="AE17" s="1">
        <v>849</v>
      </c>
      <c r="AF17" s="1"/>
      <c r="AG17" s="1"/>
      <c r="AH17" s="1">
        <v>1800</v>
      </c>
      <c r="AI17" s="1"/>
      <c r="AJ17" s="1"/>
      <c r="AK17" s="1"/>
      <c r="AL17" s="1"/>
      <c r="AM17" s="1">
        <v>4071</v>
      </c>
      <c r="AN17" s="1"/>
      <c r="AO17" s="1">
        <v>3600</v>
      </c>
      <c r="AP17" s="1"/>
      <c r="AQ17" s="1">
        <v>6900</v>
      </c>
      <c r="AR17" s="1">
        <v>6780</v>
      </c>
      <c r="AS17" s="1">
        <v>1650</v>
      </c>
      <c r="AT17" s="41"/>
      <c r="AU17" s="1"/>
      <c r="AV17" s="1">
        <v>2760</v>
      </c>
      <c r="AW17" s="1">
        <v>6035</v>
      </c>
      <c r="AX17" s="1"/>
      <c r="AY17" s="1">
        <v>4722</v>
      </c>
      <c r="AZ17" s="1">
        <v>228</v>
      </c>
      <c r="BA17" s="1"/>
      <c r="BB17" s="18"/>
      <c r="BC17" s="18">
        <v>4200</v>
      </c>
      <c r="BD17" s="1">
        <v>2015</v>
      </c>
      <c r="BE17" s="1"/>
      <c r="BF17" s="1"/>
      <c r="BG17" s="1">
        <v>-132</v>
      </c>
      <c r="BH17" s="1">
        <v>2888</v>
      </c>
      <c r="BI17" s="2">
        <v>831</v>
      </c>
      <c r="BJ17" s="1"/>
      <c r="BK17" s="1"/>
      <c r="BL17" s="1">
        <v>880</v>
      </c>
      <c r="BM17" s="1">
        <v>9970</v>
      </c>
      <c r="BN17" s="1"/>
      <c r="BO17" s="1"/>
      <c r="BP17" s="1"/>
      <c r="BQ17" s="1">
        <v>600</v>
      </c>
      <c r="BR17" s="1"/>
      <c r="BS17" s="1">
        <v>5836</v>
      </c>
      <c r="BT17" s="1"/>
      <c r="BU17" s="1">
        <v>12658</v>
      </c>
      <c r="BV17" s="1">
        <v>3600</v>
      </c>
      <c r="BW17" s="41">
        <v>1800</v>
      </c>
      <c r="BX17" s="1">
        <f>3300+1690</f>
        <v>4990</v>
      </c>
      <c r="BY17" s="1">
        <v>662</v>
      </c>
      <c r="BZ17" s="1"/>
      <c r="CA17" s="1">
        <v>2611</v>
      </c>
      <c r="CB17" s="1">
        <v>5511</v>
      </c>
      <c r="CC17" s="1">
        <v>5040</v>
      </c>
      <c r="CD17" s="1"/>
      <c r="CE17" s="1">
        <v>9775</v>
      </c>
      <c r="CF17" s="1"/>
      <c r="CG17" s="1">
        <v>8168</v>
      </c>
      <c r="CH17" s="1">
        <v>9383</v>
      </c>
      <c r="CI17" s="1"/>
      <c r="CJ17" s="1">
        <v>4800</v>
      </c>
      <c r="CK17" s="1">
        <v>9750</v>
      </c>
      <c r="CL17" s="1">
        <v>8168</v>
      </c>
      <c r="CM17" s="1">
        <v>5175</v>
      </c>
      <c r="CN17" s="1">
        <v>10200</v>
      </c>
      <c r="CO17" s="1">
        <v>4050</v>
      </c>
      <c r="CP17" s="1"/>
      <c r="CQ17" s="1">
        <v>14880</v>
      </c>
      <c r="CR17" s="1">
        <v>2400</v>
      </c>
      <c r="CS17" s="1">
        <v>1730</v>
      </c>
      <c r="CT17" s="1">
        <v>5400</v>
      </c>
      <c r="CU17" s="1">
        <v>3600</v>
      </c>
      <c r="CV17" s="1">
        <v>7925</v>
      </c>
      <c r="CW17" s="1">
        <v>14166</v>
      </c>
      <c r="CX17" s="41">
        <v>12726</v>
      </c>
      <c r="CY17" s="1">
        <v>1620</v>
      </c>
      <c r="CZ17" s="1">
        <v>1030</v>
      </c>
      <c r="DA17" s="1"/>
      <c r="DB17" s="1"/>
      <c r="DC17" s="1"/>
      <c r="DD17" s="1">
        <v>5200</v>
      </c>
      <c r="DE17" s="1">
        <v>2257</v>
      </c>
      <c r="DF17" s="1">
        <v>17386</v>
      </c>
      <c r="DG17" s="1">
        <v>19200</v>
      </c>
      <c r="DH17" s="1"/>
      <c r="DI17" s="1">
        <v>10800</v>
      </c>
      <c r="DJ17" s="1"/>
      <c r="DK17" s="1"/>
      <c r="DL17" s="1">
        <v>8400</v>
      </c>
      <c r="DM17" s="1"/>
      <c r="DN17" s="1">
        <v>13853</v>
      </c>
      <c r="DO17" s="1">
        <v>21440</v>
      </c>
      <c r="DP17" s="1">
        <v>8400</v>
      </c>
      <c r="DQ17" s="1">
        <v>11515</v>
      </c>
      <c r="DR17" s="1">
        <v>12000</v>
      </c>
      <c r="DS17" s="1">
        <v>6300</v>
      </c>
      <c r="DT17" s="1"/>
      <c r="DU17" s="1"/>
      <c r="DV17" s="1"/>
      <c r="DW17" s="1">
        <v>5700</v>
      </c>
      <c r="DX17" s="1">
        <v>9163</v>
      </c>
      <c r="DY17" s="1">
        <v>16373</v>
      </c>
      <c r="DZ17" s="1">
        <v>27600</v>
      </c>
      <c r="EA17" s="1">
        <v>17081</v>
      </c>
      <c r="EB17" s="1">
        <v>9000</v>
      </c>
      <c r="EC17" s="1">
        <v>16200</v>
      </c>
      <c r="ED17" s="1">
        <v>24000</v>
      </c>
      <c r="EE17" s="1"/>
      <c r="EF17" s="1">
        <v>23640</v>
      </c>
      <c r="EG17" s="1">
        <v>15179</v>
      </c>
      <c r="EH17" s="1">
        <v>12600</v>
      </c>
      <c r="EI17" s="1">
        <v>8792</v>
      </c>
      <c r="EJ17" s="1">
        <v>23115</v>
      </c>
      <c r="EK17" s="1">
        <v>8100</v>
      </c>
      <c r="EL17" s="1">
        <v>3198</v>
      </c>
      <c r="EM17" s="1">
        <v>25200</v>
      </c>
      <c r="EN17" s="1">
        <v>21693</v>
      </c>
      <c r="EO17" s="1">
        <v>27000</v>
      </c>
      <c r="EP17" s="1">
        <v>5498</v>
      </c>
      <c r="EQ17" s="1">
        <v>24494</v>
      </c>
      <c r="ER17" s="1">
        <v>38400</v>
      </c>
      <c r="ES17" s="1">
        <v>3750</v>
      </c>
      <c r="ET17" s="1">
        <v>29668</v>
      </c>
      <c r="EU17" s="1">
        <v>24600</v>
      </c>
      <c r="EV17" s="18">
        <f>23100-10228</f>
        <v>12872</v>
      </c>
      <c r="EW17" s="1"/>
      <c r="EX17" s="1">
        <v>5717</v>
      </c>
      <c r="EY17" s="1">
        <v>13026</v>
      </c>
      <c r="EZ17" s="1">
        <v>2621</v>
      </c>
      <c r="FA17" s="1">
        <v>18862</v>
      </c>
      <c r="FB17" s="1">
        <v>34950</v>
      </c>
      <c r="FC17" s="1">
        <v>27000</v>
      </c>
      <c r="FD17" s="1">
        <v>26401</v>
      </c>
      <c r="FE17" s="1">
        <v>25200</v>
      </c>
      <c r="FF17" s="1"/>
      <c r="FG17" s="1">
        <v>4947</v>
      </c>
      <c r="FH17" s="1"/>
      <c r="FI17" s="1"/>
      <c r="FJ17" s="1">
        <v>24000</v>
      </c>
      <c r="FK17" s="2">
        <v>27600</v>
      </c>
      <c r="FL17" s="1">
        <v>68011</v>
      </c>
      <c r="FM17" s="1">
        <v>63000</v>
      </c>
      <c r="FN17" s="1"/>
      <c r="FO17" s="1">
        <v>11400</v>
      </c>
      <c r="FP17" s="1">
        <v>49380</v>
      </c>
      <c r="FQ17" s="1">
        <v>39599</v>
      </c>
      <c r="FR17" s="1">
        <v>39000</v>
      </c>
      <c r="FS17" s="1"/>
      <c r="FT17" s="1">
        <v>33600</v>
      </c>
      <c r="FU17" s="1">
        <v>34200</v>
      </c>
      <c r="FV17" s="41">
        <v>36950</v>
      </c>
      <c r="FW17" s="1">
        <v>56400</v>
      </c>
      <c r="FX17" s="1">
        <v>57600</v>
      </c>
      <c r="FY17" s="1">
        <v>46800</v>
      </c>
      <c r="FZ17" s="1">
        <v>1500</v>
      </c>
      <c r="GA17" s="1">
        <v>30723</v>
      </c>
      <c r="GB17" s="1"/>
      <c r="GC17" s="1">
        <v>36898</v>
      </c>
      <c r="GD17" s="1">
        <v>33096</v>
      </c>
      <c r="GE17" s="1">
        <v>79270</v>
      </c>
      <c r="GF17" s="1">
        <v>63000</v>
      </c>
      <c r="GG17" s="1">
        <v>64380</v>
      </c>
      <c r="GH17" s="1">
        <v>52800</v>
      </c>
      <c r="GI17" s="1">
        <v>91200</v>
      </c>
      <c r="GJ17" s="18">
        <v>113500</v>
      </c>
      <c r="GK17" s="1">
        <v>62160</v>
      </c>
      <c r="GL17" s="1">
        <v>156000</v>
      </c>
      <c r="GM17" s="1">
        <v>27464</v>
      </c>
      <c r="GN17" s="1">
        <v>91680</v>
      </c>
      <c r="GO17" s="1">
        <v>137865</v>
      </c>
      <c r="GP17" s="1">
        <v>96000</v>
      </c>
    </row>
    <row r="18" spans="1:198" s="2" customFormat="1" ht="15">
      <c r="A18" s="2" t="s">
        <v>8</v>
      </c>
      <c r="B18" s="40"/>
      <c r="C18" s="40">
        <v>1677</v>
      </c>
      <c r="D18" s="1" t="s">
        <v>50</v>
      </c>
      <c r="E18" s="1">
        <v>134</v>
      </c>
      <c r="F18" s="1"/>
      <c r="G18" s="1">
        <v>22</v>
      </c>
      <c r="H18" s="1">
        <v>54</v>
      </c>
      <c r="I18" s="1">
        <v>117</v>
      </c>
      <c r="J18" s="1">
        <v>356</v>
      </c>
      <c r="K18" s="1">
        <v>60</v>
      </c>
      <c r="L18" s="41">
        <v>2375</v>
      </c>
      <c r="M18" s="1">
        <v>152</v>
      </c>
      <c r="N18" s="1">
        <v>1396</v>
      </c>
      <c r="O18" s="1">
        <v>805</v>
      </c>
      <c r="P18" s="1">
        <v>262</v>
      </c>
      <c r="Q18" s="1">
        <v>2954</v>
      </c>
      <c r="R18" s="1">
        <v>123</v>
      </c>
      <c r="S18" s="1">
        <v>388</v>
      </c>
      <c r="T18" s="1">
        <v>126</v>
      </c>
      <c r="U18" s="1">
        <v>12</v>
      </c>
      <c r="V18" s="1">
        <v>971</v>
      </c>
      <c r="W18" s="1">
        <v>4662</v>
      </c>
      <c r="X18" s="1">
        <v>642</v>
      </c>
      <c r="Y18" s="1">
        <v>991</v>
      </c>
      <c r="Z18" s="1">
        <f>59+550</f>
        <v>609</v>
      </c>
      <c r="AA18" s="1">
        <v>194</v>
      </c>
      <c r="AB18" s="1">
        <v>200</v>
      </c>
      <c r="AC18" s="1">
        <v>513</v>
      </c>
      <c r="AD18" s="1">
        <v>2187</v>
      </c>
      <c r="AE18" s="1">
        <v>2066</v>
      </c>
      <c r="AF18" s="1">
        <v>3867</v>
      </c>
      <c r="AG18" s="1">
        <v>6512</v>
      </c>
      <c r="AH18" s="1">
        <v>683</v>
      </c>
      <c r="AI18" s="1"/>
      <c r="AJ18" s="1">
        <v>302</v>
      </c>
      <c r="AK18" s="1">
        <v>1304</v>
      </c>
      <c r="AL18" s="1">
        <v>3008</v>
      </c>
      <c r="AM18" s="1"/>
      <c r="AN18" s="1">
        <v>1555</v>
      </c>
      <c r="AO18" s="1">
        <v>1728</v>
      </c>
      <c r="AP18" s="1">
        <v>35122</v>
      </c>
      <c r="AQ18" s="1">
        <v>12217</v>
      </c>
      <c r="AR18" s="1">
        <v>497</v>
      </c>
      <c r="AS18" s="1">
        <v>6979</v>
      </c>
      <c r="AT18" s="41">
        <v>7386</v>
      </c>
      <c r="AU18" s="1">
        <v>1923</v>
      </c>
      <c r="AV18" s="1">
        <v>3295</v>
      </c>
      <c r="AW18" s="1">
        <v>1324</v>
      </c>
      <c r="AX18" s="1">
        <v>216</v>
      </c>
      <c r="AY18" s="1">
        <v>936</v>
      </c>
      <c r="AZ18" s="1">
        <v>5039</v>
      </c>
      <c r="BA18" s="1">
        <v>11851</v>
      </c>
      <c r="BB18" s="18">
        <f>255+886</f>
        <v>1141</v>
      </c>
      <c r="BC18" s="18">
        <f>184+899+21</f>
        <v>1104</v>
      </c>
      <c r="BD18" s="1">
        <v>2783</v>
      </c>
      <c r="BE18" s="1">
        <v>1754</v>
      </c>
      <c r="BF18" s="1">
        <v>1468</v>
      </c>
      <c r="BG18" s="1">
        <v>430</v>
      </c>
      <c r="BH18" s="1">
        <v>1257</v>
      </c>
      <c r="BI18" s="2">
        <v>4644</v>
      </c>
      <c r="BJ18" s="1">
        <v>3668</v>
      </c>
      <c r="BK18" s="1"/>
      <c r="BL18" s="1">
        <v>5317</v>
      </c>
      <c r="BM18" s="1">
        <v>2698</v>
      </c>
      <c r="BN18" s="1">
        <v>292</v>
      </c>
      <c r="BO18" s="1">
        <f>2+678</f>
        <v>680</v>
      </c>
      <c r="BP18" s="1">
        <v>4500</v>
      </c>
      <c r="BQ18" s="1">
        <v>2619</v>
      </c>
      <c r="BR18" s="1">
        <v>318</v>
      </c>
      <c r="BS18" s="1">
        <v>4233</v>
      </c>
      <c r="BT18" s="1">
        <v>4410</v>
      </c>
      <c r="BU18" s="1">
        <v>2566</v>
      </c>
      <c r="BV18" s="1">
        <v>658</v>
      </c>
      <c r="BW18" s="41">
        <v>446</v>
      </c>
      <c r="BX18" s="1">
        <v>930</v>
      </c>
      <c r="BY18" s="1">
        <v>2406</v>
      </c>
      <c r="BZ18" s="1">
        <v>6263</v>
      </c>
      <c r="CA18" s="1">
        <v>4336</v>
      </c>
      <c r="CB18" s="1">
        <v>7233</v>
      </c>
      <c r="CC18" s="1">
        <v>708</v>
      </c>
      <c r="CD18" s="1">
        <v>407</v>
      </c>
      <c r="CE18" s="1">
        <v>687</v>
      </c>
      <c r="CF18" s="1">
        <f>1260+5904</f>
        <v>7164</v>
      </c>
      <c r="CG18" s="1">
        <v>5793</v>
      </c>
      <c r="CH18" s="1">
        <v>166</v>
      </c>
      <c r="CI18" s="1">
        <v>2464</v>
      </c>
      <c r="CJ18" s="1">
        <v>2534</v>
      </c>
      <c r="CK18" s="1">
        <v>6755</v>
      </c>
      <c r="CL18" s="1">
        <v>1467</v>
      </c>
      <c r="CM18" s="1">
        <v>1992</v>
      </c>
      <c r="CN18" s="1">
        <v>1464</v>
      </c>
      <c r="CO18" s="1">
        <v>14813</v>
      </c>
      <c r="CP18" s="1">
        <v>4835</v>
      </c>
      <c r="CQ18" s="1">
        <v>807</v>
      </c>
      <c r="CR18" s="2">
        <v>10222</v>
      </c>
      <c r="CS18" s="1">
        <f>400+1332</f>
        <v>1732</v>
      </c>
      <c r="CT18" s="2">
        <v>2215</v>
      </c>
      <c r="CU18" s="2">
        <v>272378</v>
      </c>
      <c r="CV18" s="1">
        <v>1823</v>
      </c>
      <c r="CW18" s="1">
        <v>14201</v>
      </c>
      <c r="CX18" s="41">
        <v>4932</v>
      </c>
      <c r="CY18" s="1">
        <v>2386</v>
      </c>
      <c r="CZ18" s="1">
        <v>26477</v>
      </c>
      <c r="DA18" s="1">
        <v>6191</v>
      </c>
      <c r="DB18" s="1">
        <v>10543</v>
      </c>
      <c r="DC18" s="1">
        <v>4503</v>
      </c>
      <c r="DD18" s="1">
        <v>12012</v>
      </c>
      <c r="DE18" s="1">
        <v>7681</v>
      </c>
      <c r="DF18" s="1">
        <v>479</v>
      </c>
      <c r="DG18" s="1">
        <v>457</v>
      </c>
      <c r="DH18" s="1"/>
      <c r="DI18" s="1">
        <v>7249</v>
      </c>
      <c r="DJ18" s="1">
        <v>9253</v>
      </c>
      <c r="DK18" s="1">
        <v>11808</v>
      </c>
      <c r="DL18" s="1">
        <v>41062</v>
      </c>
      <c r="DM18" s="1">
        <v>19353</v>
      </c>
      <c r="DN18" s="1">
        <v>3475</v>
      </c>
      <c r="DO18" s="1">
        <v>1092</v>
      </c>
      <c r="DP18" s="1">
        <v>15528</v>
      </c>
      <c r="DQ18" s="1">
        <v>1700</v>
      </c>
      <c r="DR18" s="1">
        <v>1613</v>
      </c>
      <c r="DS18" s="1">
        <v>12095</v>
      </c>
      <c r="DT18" s="1">
        <v>1563</v>
      </c>
      <c r="DU18" s="1">
        <v>2709</v>
      </c>
      <c r="DV18" s="1">
        <f>383+212</f>
        <v>595</v>
      </c>
      <c r="DW18" s="1">
        <v>1171</v>
      </c>
      <c r="DX18" s="1">
        <v>28979</v>
      </c>
      <c r="DY18" s="1">
        <f>4155-100</f>
        <v>4055</v>
      </c>
      <c r="DZ18" s="1">
        <f>11894+2019</f>
        <v>13913</v>
      </c>
      <c r="EA18" s="1">
        <v>5465</v>
      </c>
      <c r="EB18" s="1">
        <v>2199</v>
      </c>
      <c r="EC18" s="1">
        <v>540</v>
      </c>
      <c r="ED18" s="1">
        <v>9901</v>
      </c>
      <c r="EE18" s="1">
        <v>474</v>
      </c>
      <c r="EF18" s="1">
        <v>2726</v>
      </c>
      <c r="EG18" s="1">
        <v>3329</v>
      </c>
      <c r="EH18" s="1">
        <v>6343</v>
      </c>
      <c r="EI18" s="1">
        <v>12244</v>
      </c>
      <c r="EJ18" s="1">
        <v>4516</v>
      </c>
      <c r="EK18" s="1">
        <v>16534</v>
      </c>
      <c r="EL18" s="1">
        <v>1119</v>
      </c>
      <c r="EM18" s="1">
        <v>10533</v>
      </c>
      <c r="EN18" s="1">
        <v>7102</v>
      </c>
      <c r="EO18" s="1">
        <v>5250</v>
      </c>
      <c r="EP18" s="1">
        <v>14204</v>
      </c>
      <c r="EQ18" s="1">
        <v>2206</v>
      </c>
      <c r="ER18" s="1">
        <v>30678</v>
      </c>
      <c r="ES18" s="1">
        <v>8041</v>
      </c>
      <c r="ET18" s="1">
        <v>10878</v>
      </c>
      <c r="EU18" s="1">
        <v>3776</v>
      </c>
      <c r="EV18" s="18">
        <v>5778</v>
      </c>
      <c r="EW18" s="1">
        <f>4538+4648</f>
        <v>9186</v>
      </c>
      <c r="EX18" s="1">
        <v>8560</v>
      </c>
      <c r="EY18" s="1">
        <v>12937</v>
      </c>
      <c r="EZ18" s="1">
        <v>7705</v>
      </c>
      <c r="FA18" s="1">
        <v>466</v>
      </c>
      <c r="FB18" s="1">
        <v>11025</v>
      </c>
      <c r="FC18" s="1">
        <v>11058</v>
      </c>
      <c r="FD18" s="1">
        <v>7234</v>
      </c>
      <c r="FE18" s="1">
        <v>8599</v>
      </c>
      <c r="FF18" s="1">
        <v>49839</v>
      </c>
      <c r="FG18" s="1">
        <v>918</v>
      </c>
      <c r="FH18" s="1">
        <v>7651</v>
      </c>
      <c r="FI18" s="1">
        <v>20588</v>
      </c>
      <c r="FJ18" s="1"/>
      <c r="FK18" s="2">
        <v>11036</v>
      </c>
      <c r="FL18" s="1">
        <v>3879</v>
      </c>
      <c r="FM18" s="1">
        <v>10579</v>
      </c>
      <c r="FN18" s="1">
        <v>32551</v>
      </c>
      <c r="FO18" s="1">
        <v>6081</v>
      </c>
      <c r="FP18" s="1">
        <v>5156</v>
      </c>
      <c r="FQ18" s="1">
        <f>3529+12121</f>
        <v>15650</v>
      </c>
      <c r="FR18" s="1">
        <v>16262</v>
      </c>
      <c r="FS18" s="1">
        <v>11091</v>
      </c>
      <c r="FT18" s="1">
        <v>9853</v>
      </c>
      <c r="FU18" s="1">
        <v>4300</v>
      </c>
      <c r="FV18" s="41">
        <v>8639</v>
      </c>
      <c r="FW18" s="1">
        <v>4448</v>
      </c>
      <c r="FX18" s="1">
        <v>42656</v>
      </c>
      <c r="FY18" s="1">
        <v>2876</v>
      </c>
      <c r="FZ18" s="1">
        <v>5364</v>
      </c>
      <c r="GA18" s="1">
        <v>94910</v>
      </c>
      <c r="GB18" s="1">
        <v>24212</v>
      </c>
      <c r="GC18" s="1">
        <v>1768</v>
      </c>
      <c r="GD18" s="1">
        <v>78258</v>
      </c>
      <c r="GE18" s="1">
        <v>8417</v>
      </c>
      <c r="GF18" s="1"/>
      <c r="GG18" s="1">
        <v>30529</v>
      </c>
      <c r="GH18" s="1">
        <v>3404</v>
      </c>
      <c r="GI18" s="1">
        <v>3717</v>
      </c>
      <c r="GJ18" s="18">
        <v>45223</v>
      </c>
      <c r="GK18" s="1">
        <v>3174</v>
      </c>
      <c r="GL18" s="1">
        <v>28716</v>
      </c>
      <c r="GM18" s="1">
        <v>96111</v>
      </c>
      <c r="GN18" s="1">
        <v>93194</v>
      </c>
      <c r="GO18" s="1">
        <v>53925</v>
      </c>
      <c r="GP18" s="1">
        <v>13192</v>
      </c>
    </row>
    <row r="19" spans="1:198" s="2" customFormat="1" ht="15">
      <c r="A19" s="2" t="s">
        <v>9</v>
      </c>
      <c r="B19" s="40"/>
      <c r="C19" s="40"/>
      <c r="D19" s="1"/>
      <c r="E19" s="1">
        <v>54000</v>
      </c>
      <c r="F19" s="1"/>
      <c r="G19" s="1"/>
      <c r="H19" s="1"/>
      <c r="I19" s="1"/>
      <c r="J19" s="1"/>
      <c r="K19" s="1"/>
      <c r="L19" s="41">
        <v>330000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v>17000</v>
      </c>
      <c r="Y19" s="1"/>
      <c r="Z19" s="1"/>
      <c r="AA19" s="1">
        <v>44975</v>
      </c>
      <c r="AB19" s="1"/>
      <c r="AC19" s="1"/>
      <c r="AD19" s="1"/>
      <c r="AE19" s="1">
        <v>40695</v>
      </c>
      <c r="AF19" s="1">
        <v>14720</v>
      </c>
      <c r="AG19" s="1"/>
      <c r="AH19" s="1">
        <v>39500</v>
      </c>
      <c r="AI19" s="1"/>
      <c r="AJ19" s="1"/>
      <c r="AK19" s="1">
        <v>13553</v>
      </c>
      <c r="AL19" s="1"/>
      <c r="AM19" s="1">
        <v>38000</v>
      </c>
      <c r="AN19" s="1">
        <v>61200</v>
      </c>
      <c r="AO19" s="1"/>
      <c r="AP19" s="1" t="s">
        <v>50</v>
      </c>
      <c r="AQ19" s="1"/>
      <c r="AR19" s="1"/>
      <c r="AS19" s="1">
        <v>173000</v>
      </c>
      <c r="AT19" s="41">
        <v>22695</v>
      </c>
      <c r="AU19" s="1"/>
      <c r="AV19" s="1"/>
      <c r="AW19" s="1">
        <v>166000</v>
      </c>
      <c r="AX19" s="1"/>
      <c r="AY19" s="1">
        <v>28500</v>
      </c>
      <c r="AZ19" s="1">
        <v>104500</v>
      </c>
      <c r="BA19" s="1">
        <v>247500</v>
      </c>
      <c r="BB19" s="18"/>
      <c r="BC19" s="18">
        <v>8325</v>
      </c>
      <c r="BD19" s="1"/>
      <c r="BE19" s="1"/>
      <c r="BF19" s="1">
        <v>10000</v>
      </c>
      <c r="BG19" s="1"/>
      <c r="BH19" s="1">
        <v>39375</v>
      </c>
      <c r="BI19" s="2">
        <v>249800</v>
      </c>
      <c r="BJ19" s="1"/>
      <c r="BK19" s="1"/>
      <c r="BL19" s="1"/>
      <c r="BM19" s="1">
        <v>3960</v>
      </c>
      <c r="BN19" s="1"/>
      <c r="BO19" s="1"/>
      <c r="BP19" s="1">
        <v>222700</v>
      </c>
      <c r="BQ19" s="1"/>
      <c r="BR19" s="1"/>
      <c r="BS19" s="1">
        <v>202240</v>
      </c>
      <c r="BT19" s="1"/>
      <c r="BU19" s="1">
        <v>192650</v>
      </c>
      <c r="BV19" s="1"/>
      <c r="BW19" s="41">
        <v>14150</v>
      </c>
      <c r="BX19" s="1"/>
      <c r="BY19" s="1">
        <v>112900</v>
      </c>
      <c r="BZ19" s="1">
        <v>42775</v>
      </c>
      <c r="CA19" s="1">
        <v>133050</v>
      </c>
      <c r="CB19" s="1">
        <v>291390</v>
      </c>
      <c r="CC19" s="1"/>
      <c r="CD19" s="1"/>
      <c r="CE19" s="1"/>
      <c r="CF19" s="1"/>
      <c r="CG19" s="1"/>
      <c r="CH19" s="1"/>
      <c r="CI19" s="1">
        <v>22500</v>
      </c>
      <c r="CJ19" s="1">
        <v>80320</v>
      </c>
      <c r="CK19" s="1"/>
      <c r="CL19" s="1"/>
      <c r="CM19" s="1">
        <v>27000</v>
      </c>
      <c r="CN19" s="1">
        <v>63990</v>
      </c>
      <c r="CO19" s="1">
        <v>92400</v>
      </c>
      <c r="CP19" s="1">
        <v>381000</v>
      </c>
      <c r="CQ19" s="1"/>
      <c r="CR19" s="1"/>
      <c r="CS19" s="1">
        <v>113977</v>
      </c>
      <c r="CT19" s="1"/>
      <c r="CU19" s="1"/>
      <c r="CV19" s="1">
        <v>18450</v>
      </c>
      <c r="CW19" s="1">
        <v>28161</v>
      </c>
      <c r="CX19" s="41"/>
      <c r="CY19" s="1"/>
      <c r="CZ19" s="1">
        <v>5600</v>
      </c>
      <c r="DA19" s="1"/>
      <c r="DB19" s="1"/>
      <c r="DC19" s="1"/>
      <c r="DD19" s="1"/>
      <c r="DE19" s="1"/>
      <c r="DF19" s="1">
        <v>41500</v>
      </c>
      <c r="DG19" s="1"/>
      <c r="DH19" s="1"/>
      <c r="DI19" s="1">
        <v>23240</v>
      </c>
      <c r="DJ19" s="1"/>
      <c r="DK19" s="1"/>
      <c r="DL19" s="1"/>
      <c r="DM19" s="1"/>
      <c r="DN19" s="1"/>
      <c r="DO19" s="1"/>
      <c r="DP19" s="1">
        <v>24000</v>
      </c>
      <c r="DQ19" s="1"/>
      <c r="DR19" s="1"/>
      <c r="DS19" s="1">
        <v>217900</v>
      </c>
      <c r="DT19" s="1"/>
      <c r="DU19" s="1"/>
      <c r="DV19" s="1"/>
      <c r="DW19" s="1">
        <v>117000</v>
      </c>
      <c r="DX19" s="1"/>
      <c r="DY19" s="1">
        <v>16500</v>
      </c>
      <c r="DZ19" s="1"/>
      <c r="EA19" s="1"/>
      <c r="EB19" s="1">
        <v>34125</v>
      </c>
      <c r="EC19" s="1">
        <v>1405</v>
      </c>
      <c r="ED19" s="1"/>
      <c r="EE19" s="1">
        <v>75830</v>
      </c>
      <c r="EF19" s="1"/>
      <c r="EG19" s="1">
        <v>16800</v>
      </c>
      <c r="EH19" s="1">
        <v>352580</v>
      </c>
      <c r="EI19" s="1">
        <v>312900</v>
      </c>
      <c r="EJ19" s="1">
        <v>160120</v>
      </c>
      <c r="EK19" s="1"/>
      <c r="EL19" s="1"/>
      <c r="EM19" s="1">
        <v>18570</v>
      </c>
      <c r="EN19" s="1">
        <v>50468</v>
      </c>
      <c r="EO19" s="1">
        <v>10000</v>
      </c>
      <c r="EP19" s="1">
        <v>195056</v>
      </c>
      <c r="EQ19" s="1"/>
      <c r="ER19" s="1"/>
      <c r="ES19" s="1">
        <v>47496</v>
      </c>
      <c r="ET19" s="1"/>
      <c r="EU19" s="1"/>
      <c r="EV19" s="18">
        <v>65643</v>
      </c>
      <c r="EW19" s="1"/>
      <c r="EX19" s="1"/>
      <c r="EY19" s="1">
        <v>127500</v>
      </c>
      <c r="EZ19" s="1"/>
      <c r="FA19" s="1">
        <v>140834</v>
      </c>
      <c r="FB19" s="1"/>
      <c r="FC19" s="1">
        <v>16860</v>
      </c>
      <c r="FD19" s="1"/>
      <c r="FE19" s="1">
        <v>303570</v>
      </c>
      <c r="FF19" s="1"/>
      <c r="FG19" s="1"/>
      <c r="FH19" s="1"/>
      <c r="FI19" s="1"/>
      <c r="FJ19" s="1"/>
      <c r="FK19" s="2">
        <v>249990</v>
      </c>
      <c r="FL19" s="1"/>
      <c r="FM19" s="1"/>
      <c r="FN19" s="1"/>
      <c r="FO19" s="1"/>
      <c r="FP19" s="1"/>
      <c r="FQ19" s="1"/>
      <c r="FR19" s="1">
        <v>292268</v>
      </c>
      <c r="FS19" s="1"/>
      <c r="FT19" s="1">
        <v>45449</v>
      </c>
      <c r="FU19" s="1">
        <v>128550</v>
      </c>
      <c r="FV19" s="41"/>
      <c r="FW19" s="1"/>
      <c r="FX19" s="1"/>
      <c r="FY19" s="1"/>
      <c r="FZ19" s="1"/>
      <c r="GA19" s="1">
        <v>558100</v>
      </c>
      <c r="GB19" s="1"/>
      <c r="GC19" s="1"/>
      <c r="GD19" s="1"/>
      <c r="GE19" s="1"/>
      <c r="GF19" s="1">
        <v>5200</v>
      </c>
      <c r="GG19" s="1">
        <v>363418</v>
      </c>
      <c r="GH19" s="1"/>
      <c r="GI19" s="1"/>
      <c r="GJ19" s="18">
        <v>149434</v>
      </c>
      <c r="GK19" s="1"/>
      <c r="GL19" s="1"/>
      <c r="GM19" s="1"/>
      <c r="GN19" s="1"/>
      <c r="GO19" s="1">
        <v>629110</v>
      </c>
      <c r="GP19" s="1"/>
    </row>
    <row r="20" spans="1:198" s="2" customFormat="1" ht="15">
      <c r="A20" s="2" t="s">
        <v>10</v>
      </c>
      <c r="B20" s="40"/>
      <c r="C20" s="40" t="s">
        <v>50</v>
      </c>
      <c r="D20" s="1"/>
      <c r="E20" s="1"/>
      <c r="F20" s="1"/>
      <c r="G20" s="1"/>
      <c r="H20" s="1">
        <v>3500</v>
      </c>
      <c r="I20" s="1"/>
      <c r="J20" s="1">
        <v>1000</v>
      </c>
      <c r="K20" s="1"/>
      <c r="L20" s="41"/>
      <c r="M20" s="1"/>
      <c r="N20" s="1">
        <v>550</v>
      </c>
      <c r="O20" s="1"/>
      <c r="P20" s="1"/>
      <c r="Q20" s="1"/>
      <c r="R20" s="1"/>
      <c r="S20" s="1">
        <v>1000</v>
      </c>
      <c r="T20" s="1"/>
      <c r="U20" s="1"/>
      <c r="V20" s="1"/>
      <c r="W20" s="1"/>
      <c r="X20" s="1"/>
      <c r="Y20" s="1"/>
      <c r="Z20" s="1"/>
      <c r="AA20" s="1">
        <v>16065</v>
      </c>
      <c r="AB20" s="1">
        <v>1500</v>
      </c>
      <c r="AC20" s="1">
        <v>1500</v>
      </c>
      <c r="AD20" s="1">
        <v>4000</v>
      </c>
      <c r="AE20" s="1"/>
      <c r="AF20" s="1">
        <v>2049</v>
      </c>
      <c r="AG20" s="1"/>
      <c r="AH20" s="1"/>
      <c r="AI20" s="1">
        <v>21000</v>
      </c>
      <c r="AJ20" s="1">
        <v>20000</v>
      </c>
      <c r="AK20" s="1"/>
      <c r="AL20" s="1"/>
      <c r="AM20" s="1"/>
      <c r="AN20" s="1"/>
      <c r="AO20" s="1"/>
      <c r="AP20" s="1"/>
      <c r="AQ20" s="1"/>
      <c r="AR20" s="1"/>
      <c r="AS20" s="1"/>
      <c r="AT20" s="41">
        <v>1000</v>
      </c>
      <c r="AU20" s="1"/>
      <c r="AV20" s="1">
        <v>6815</v>
      </c>
      <c r="AW20" s="1"/>
      <c r="AX20" s="1"/>
      <c r="AY20" s="1">
        <v>750</v>
      </c>
      <c r="AZ20" s="1"/>
      <c r="BA20" s="1"/>
      <c r="BB20" s="18"/>
      <c r="BC20" s="18">
        <v>900</v>
      </c>
      <c r="BD20" s="1"/>
      <c r="BE20" s="1"/>
      <c r="BF20" s="1">
        <v>2150</v>
      </c>
      <c r="BG20" s="1" t="s">
        <v>50</v>
      </c>
      <c r="BH20" s="1"/>
      <c r="BJ20" s="1"/>
      <c r="BK20" s="1">
        <v>4000</v>
      </c>
      <c r="BL20" s="1"/>
      <c r="BM20" s="1">
        <v>15750</v>
      </c>
      <c r="BN20" s="1">
        <v>14000</v>
      </c>
      <c r="BO20" s="1"/>
      <c r="BP20" s="1"/>
      <c r="BQ20" s="1"/>
      <c r="BR20" s="1">
        <v>16500</v>
      </c>
      <c r="BS20" s="1"/>
      <c r="BT20" s="1"/>
      <c r="BU20" s="1"/>
      <c r="BV20" s="1">
        <v>39160</v>
      </c>
      <c r="BW20" s="41" t="s">
        <v>50</v>
      </c>
      <c r="BX20" s="1">
        <v>8000</v>
      </c>
      <c r="BY20" s="1"/>
      <c r="BZ20" s="1"/>
      <c r="CA20" s="1"/>
      <c r="CB20" s="1"/>
      <c r="CC20" s="1">
        <v>6500</v>
      </c>
      <c r="CD20" s="1">
        <v>6500</v>
      </c>
      <c r="CE20" s="1">
        <v>9000</v>
      </c>
      <c r="CF20" s="1"/>
      <c r="CG20" s="1"/>
      <c r="CH20" s="1"/>
      <c r="CI20" s="1"/>
      <c r="CJ20" s="1"/>
      <c r="CK20" s="1"/>
      <c r="CL20" s="1"/>
      <c r="CM20" s="1">
        <v>1500</v>
      </c>
      <c r="CN20" s="1"/>
      <c r="CO20" s="1">
        <v>5000</v>
      </c>
      <c r="CP20" s="1"/>
      <c r="CQ20" s="1"/>
      <c r="CR20" s="1">
        <v>10000</v>
      </c>
      <c r="CS20" s="1"/>
      <c r="CT20" s="1"/>
      <c r="CU20" s="1"/>
      <c r="CV20" s="1">
        <v>2000</v>
      </c>
      <c r="CW20" s="1">
        <v>5100</v>
      </c>
      <c r="CX20" s="41">
        <v>400</v>
      </c>
      <c r="CY20" s="1">
        <v>11057</v>
      </c>
      <c r="CZ20" s="1">
        <v>1055</v>
      </c>
      <c r="DA20" s="1"/>
      <c r="DB20" s="1"/>
      <c r="DC20" s="1">
        <v>9300</v>
      </c>
      <c r="DD20" s="1"/>
      <c r="DE20" s="1">
        <v>8000</v>
      </c>
      <c r="DF20" s="1"/>
      <c r="DG20" s="1">
        <v>4350</v>
      </c>
      <c r="DH20" s="1"/>
      <c r="DI20" s="1">
        <v>4000</v>
      </c>
      <c r="DJ20" s="1">
        <v>22000</v>
      </c>
      <c r="DK20" s="1">
        <v>25000</v>
      </c>
      <c r="DL20" s="1">
        <v>2000</v>
      </c>
      <c r="DM20" s="1" t="s">
        <v>50</v>
      </c>
      <c r="DN20" s="1">
        <v>5750</v>
      </c>
      <c r="DO20" s="1">
        <v>11400</v>
      </c>
      <c r="DP20" s="1">
        <v>1000</v>
      </c>
      <c r="DQ20" s="1"/>
      <c r="DR20" s="1"/>
      <c r="DS20" s="1">
        <v>1500</v>
      </c>
      <c r="DT20" s="1">
        <v>9500</v>
      </c>
      <c r="DU20" s="1">
        <v>17000</v>
      </c>
      <c r="DV20" s="1">
        <v>250</v>
      </c>
      <c r="DW20" s="1"/>
      <c r="DX20" s="1"/>
      <c r="DY20" s="1">
        <v>6453</v>
      </c>
      <c r="DZ20" s="1"/>
      <c r="EA20" s="1"/>
      <c r="EB20" s="1">
        <v>2708</v>
      </c>
      <c r="EC20" s="1"/>
      <c r="ED20" s="1"/>
      <c r="EE20" s="1">
        <v>4200</v>
      </c>
      <c r="EF20" s="1" t="s">
        <v>50</v>
      </c>
      <c r="EG20" s="1">
        <v>2125</v>
      </c>
      <c r="EH20" s="1">
        <v>4000</v>
      </c>
      <c r="EI20" s="1"/>
      <c r="EJ20" s="1">
        <v>20600</v>
      </c>
      <c r="EK20" s="1"/>
      <c r="EL20" s="1">
        <v>15250</v>
      </c>
      <c r="EM20" s="1" t="s">
        <v>50</v>
      </c>
      <c r="EN20" s="1">
        <v>1000</v>
      </c>
      <c r="EO20" s="1"/>
      <c r="EP20" s="1"/>
      <c r="EQ20" s="1">
        <v>23500</v>
      </c>
      <c r="ER20" s="1"/>
      <c r="ES20" s="1">
        <v>500</v>
      </c>
      <c r="ET20" s="1">
        <v>12600</v>
      </c>
      <c r="EU20" s="1">
        <v>10150</v>
      </c>
      <c r="EV20" s="18"/>
      <c r="EW20" s="1"/>
      <c r="EX20" s="1">
        <v>32500</v>
      </c>
      <c r="EY20" s="1">
        <v>3000</v>
      </c>
      <c r="EZ20" s="1">
        <v>24500</v>
      </c>
      <c r="FA20" s="1">
        <v>2750</v>
      </c>
      <c r="FB20" s="1">
        <v>37390</v>
      </c>
      <c r="FC20" s="1"/>
      <c r="FD20" s="1">
        <v>18000</v>
      </c>
      <c r="FE20" s="1">
        <v>11456</v>
      </c>
      <c r="FF20" s="1">
        <v>16000</v>
      </c>
      <c r="FG20" s="1"/>
      <c r="FH20" s="1">
        <v>18500</v>
      </c>
      <c r="FI20" s="1"/>
      <c r="FJ20" s="1"/>
      <c r="FK20" s="2">
        <v>7000</v>
      </c>
      <c r="FL20" s="1">
        <v>18000</v>
      </c>
      <c r="FM20" s="1"/>
      <c r="FN20" s="1">
        <v>5600</v>
      </c>
      <c r="FO20" s="1">
        <v>62200</v>
      </c>
      <c r="FP20" s="1"/>
      <c r="FQ20" s="1">
        <v>7900</v>
      </c>
      <c r="FR20" s="1">
        <v>12568</v>
      </c>
      <c r="FS20" s="1"/>
      <c r="FT20" s="1">
        <v>1400</v>
      </c>
      <c r="FU20" s="1">
        <v>2500</v>
      </c>
      <c r="FV20" s="41">
        <v>15750</v>
      </c>
      <c r="FW20" s="1"/>
      <c r="FX20" s="1"/>
      <c r="FY20" s="1">
        <v>10550</v>
      </c>
      <c r="FZ20" s="1"/>
      <c r="GA20" s="1"/>
      <c r="GB20" s="1">
        <v>58794</v>
      </c>
      <c r="GC20" s="1">
        <v>21725</v>
      </c>
      <c r="GD20" s="1">
        <v>44375</v>
      </c>
      <c r="GE20" s="1">
        <v>24150</v>
      </c>
      <c r="GF20" s="1">
        <v>34475</v>
      </c>
      <c r="GG20" s="1">
        <v>23000</v>
      </c>
      <c r="GH20" s="1">
        <v>20250</v>
      </c>
      <c r="GI20" s="1">
        <v>59614</v>
      </c>
      <c r="GJ20" s="18">
        <v>10800</v>
      </c>
      <c r="GK20" s="1"/>
      <c r="GL20" s="1"/>
      <c r="GM20" s="1">
        <v>10650</v>
      </c>
      <c r="GN20" s="1">
        <v>60630</v>
      </c>
      <c r="GO20" s="1">
        <f>142789+12387</f>
        <v>155176</v>
      </c>
      <c r="GP20" s="1">
        <v>105500</v>
      </c>
    </row>
    <row r="21" spans="1:198" s="2" customFormat="1" ht="15">
      <c r="A21" s="2" t="s">
        <v>11</v>
      </c>
      <c r="B21" s="40"/>
      <c r="C21" s="40"/>
      <c r="D21" s="1"/>
      <c r="E21" s="1"/>
      <c r="F21" s="1"/>
      <c r="G21" s="1"/>
      <c r="H21" s="1"/>
      <c r="I21" s="1"/>
      <c r="J21" s="1"/>
      <c r="K21" s="1"/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v>5693</v>
      </c>
      <c r="AA21" s="1"/>
      <c r="AB21" s="1"/>
      <c r="AC21" s="1"/>
      <c r="AD21" s="1"/>
      <c r="AE21" s="1"/>
      <c r="AF21" s="1"/>
      <c r="AG21" s="1"/>
      <c r="AH21" s="1"/>
      <c r="AI21" s="1">
        <v>9600</v>
      </c>
      <c r="AJ21" s="1"/>
      <c r="AK21" s="1">
        <v>9900</v>
      </c>
      <c r="AL21" s="1">
        <v>15603</v>
      </c>
      <c r="AM21" s="1"/>
      <c r="AN21" s="1">
        <v>5206</v>
      </c>
      <c r="AO21" s="1"/>
      <c r="AP21" s="1"/>
      <c r="AQ21" s="1"/>
      <c r="AR21" s="1">
        <v>4679</v>
      </c>
      <c r="AS21" s="1">
        <v>7262</v>
      </c>
      <c r="AT21" s="41"/>
      <c r="AU21" s="1"/>
      <c r="AV21" s="1"/>
      <c r="AW21" s="1"/>
      <c r="AX21" s="1">
        <v>14140</v>
      </c>
      <c r="AY21" s="1"/>
      <c r="AZ21" s="1"/>
      <c r="BA21" s="1"/>
      <c r="BB21" s="18"/>
      <c r="BC21" s="18">
        <v>4704</v>
      </c>
      <c r="BD21" s="1">
        <v>21427</v>
      </c>
      <c r="BE21" s="1"/>
      <c r="BF21" s="1"/>
      <c r="BG21" s="1">
        <v>15805</v>
      </c>
      <c r="BH21" s="1"/>
      <c r="BJ21" s="1"/>
      <c r="BK21" s="1"/>
      <c r="BL21" s="1"/>
      <c r="BM21" s="1">
        <v>20016</v>
      </c>
      <c r="BN21" s="1">
        <v>4500</v>
      </c>
      <c r="BO21" s="1"/>
      <c r="BP21" s="1"/>
      <c r="BQ21" s="1"/>
      <c r="BR21" s="1">
        <v>80067</v>
      </c>
      <c r="BS21" s="1"/>
      <c r="BT21" s="1">
        <v>11269</v>
      </c>
      <c r="BU21" s="1">
        <v>5254</v>
      </c>
      <c r="BV21" s="1"/>
      <c r="BW21" s="41"/>
      <c r="BX21" s="1"/>
      <c r="BY21" s="1"/>
      <c r="BZ21" s="1"/>
      <c r="CA21" s="1"/>
      <c r="CB21" s="1"/>
      <c r="CC21" s="1">
        <v>2400</v>
      </c>
      <c r="CD21" s="1">
        <v>15500</v>
      </c>
      <c r="CE21" s="1">
        <v>24496</v>
      </c>
      <c r="CF21" s="1"/>
      <c r="CG21" s="1"/>
      <c r="CH21" s="1"/>
      <c r="CI21" s="1"/>
      <c r="CJ21" s="1"/>
      <c r="CK21" s="1"/>
      <c r="CL21" s="1">
        <v>6090</v>
      </c>
      <c r="CM21" s="1">
        <v>8365</v>
      </c>
      <c r="CN21" s="1"/>
      <c r="CO21" s="1"/>
      <c r="CP21" s="1"/>
      <c r="CQ21" s="1">
        <v>3881</v>
      </c>
      <c r="CR21" s="1"/>
      <c r="CS21" s="1"/>
      <c r="CT21" s="1"/>
      <c r="CU21" s="1"/>
      <c r="CV21" s="1"/>
      <c r="CW21" s="1">
        <v>7850</v>
      </c>
      <c r="CX21" s="41">
        <v>932</v>
      </c>
      <c r="CY21" s="1"/>
      <c r="CZ21" s="1"/>
      <c r="DA21" s="1"/>
      <c r="DB21" s="1"/>
      <c r="DC21" s="1">
        <v>68058</v>
      </c>
      <c r="DD21" s="1">
        <v>12626</v>
      </c>
      <c r="DE21" s="1">
        <v>16848</v>
      </c>
      <c r="DF21" s="1">
        <v>5639</v>
      </c>
      <c r="DG21" s="1">
        <v>13875</v>
      </c>
      <c r="DH21" s="1"/>
      <c r="DI21" s="1"/>
      <c r="DJ21" s="1"/>
      <c r="DK21" s="1"/>
      <c r="DL21" s="1"/>
      <c r="DM21" s="1" t="s">
        <v>50</v>
      </c>
      <c r="DN21" s="1"/>
      <c r="DO21" s="1"/>
      <c r="DP21" s="1"/>
      <c r="DQ21" s="1"/>
      <c r="DR21" s="1"/>
      <c r="DS21" s="1"/>
      <c r="DT21" s="1"/>
      <c r="DU21" s="1"/>
      <c r="DV21" s="1"/>
      <c r="DW21" s="1">
        <v>4045</v>
      </c>
      <c r="DX21" s="1"/>
      <c r="DY21" s="1">
        <v>6150</v>
      </c>
      <c r="DZ21" s="1"/>
      <c r="EA21" s="1"/>
      <c r="EB21" s="1">
        <v>13127</v>
      </c>
      <c r="EC21" s="1"/>
      <c r="ED21" s="1">
        <v>20700</v>
      </c>
      <c r="EE21" s="1"/>
      <c r="EF21" s="1"/>
      <c r="EG21" s="1"/>
      <c r="EH21" s="1">
        <v>6382</v>
      </c>
      <c r="EI21" s="1"/>
      <c r="EJ21" s="1">
        <v>37884</v>
      </c>
      <c r="EK21" s="1"/>
      <c r="EL21" s="1">
        <v>1250</v>
      </c>
      <c r="EM21" s="1">
        <v>87594</v>
      </c>
      <c r="EN21" s="1" t="s">
        <v>50</v>
      </c>
      <c r="EO21" s="1">
        <f>17750+2000</f>
        <v>19750</v>
      </c>
      <c r="EP21" s="1"/>
      <c r="EQ21" s="1"/>
      <c r="ER21" s="1"/>
      <c r="ES21" s="1">
        <v>19000</v>
      </c>
      <c r="ET21" s="1">
        <v>34410</v>
      </c>
      <c r="EU21" s="1"/>
      <c r="EV21" s="18">
        <v>21120</v>
      </c>
      <c r="EW21" s="1"/>
      <c r="EX21" s="1">
        <v>38833</v>
      </c>
      <c r="EY21" s="1">
        <v>6702</v>
      </c>
      <c r="EZ21" s="1"/>
      <c r="FA21" s="1"/>
      <c r="FB21" s="1">
        <v>107813</v>
      </c>
      <c r="FC21" s="1">
        <v>25920</v>
      </c>
      <c r="FD21" s="1"/>
      <c r="FE21" s="1"/>
      <c r="FF21" s="1">
        <v>500</v>
      </c>
      <c r="FG21" s="1"/>
      <c r="FH21" s="1"/>
      <c r="FI21" s="1"/>
      <c r="FJ21" s="1">
        <v>19470</v>
      </c>
      <c r="FK21" s="2">
        <v>61809</v>
      </c>
      <c r="FL21" s="1">
        <v>18003</v>
      </c>
      <c r="FM21" s="1"/>
      <c r="FN21" s="1"/>
      <c r="FO21" s="1"/>
      <c r="FP21" s="1"/>
      <c r="FQ21" s="1">
        <v>28980</v>
      </c>
      <c r="FR21" s="1">
        <v>5619</v>
      </c>
      <c r="FS21" s="1"/>
      <c r="FT21" s="1">
        <v>6989</v>
      </c>
      <c r="FU21" s="1"/>
      <c r="FV21" s="41">
        <v>1300</v>
      </c>
      <c r="FW21" s="1"/>
      <c r="FX21" s="1"/>
      <c r="FY21" s="1">
        <v>8588</v>
      </c>
      <c r="FZ21" s="1"/>
      <c r="GA21" s="1">
        <v>32654</v>
      </c>
      <c r="GB21" s="1"/>
      <c r="GC21" s="1"/>
      <c r="GD21" s="1"/>
      <c r="GE21" s="1"/>
      <c r="GF21" s="1"/>
      <c r="GG21" s="1">
        <v>30719</v>
      </c>
      <c r="GH21" s="1"/>
      <c r="GI21" s="1"/>
      <c r="GJ21" s="18">
        <v>25455</v>
      </c>
      <c r="GK21" s="1"/>
      <c r="GL21" s="1"/>
      <c r="GM21" s="1">
        <v>204504</v>
      </c>
      <c r="GN21" s="1">
        <v>227119</v>
      </c>
      <c r="GO21" s="1"/>
      <c r="GP21" s="1"/>
    </row>
    <row r="22" spans="1:198" s="2" customFormat="1" ht="15">
      <c r="A22" s="2" t="s">
        <v>12</v>
      </c>
      <c r="B22" s="40"/>
      <c r="C22" s="40"/>
      <c r="D22" s="1"/>
      <c r="E22" s="1"/>
      <c r="F22" s="1"/>
      <c r="G22" s="1"/>
      <c r="H22" s="1"/>
      <c r="I22" s="1"/>
      <c r="J22" s="1">
        <v>4236</v>
      </c>
      <c r="K22" s="1"/>
      <c r="L22" s="41"/>
      <c r="M22" s="1"/>
      <c r="N22" s="1">
        <v>12500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>
        <v>4068</v>
      </c>
      <c r="AF22" s="1">
        <v>1200</v>
      </c>
      <c r="AG22" s="1"/>
      <c r="AH22" s="1"/>
      <c r="AI22" s="1"/>
      <c r="AJ22" s="1">
        <v>27055</v>
      </c>
      <c r="AK22" s="1">
        <v>900</v>
      </c>
      <c r="AL22" s="1"/>
      <c r="AM22" s="1">
        <v>38040</v>
      </c>
      <c r="AN22" s="1"/>
      <c r="AO22" s="1">
        <v>7945</v>
      </c>
      <c r="AP22" s="1"/>
      <c r="AQ22" s="1">
        <v>3375</v>
      </c>
      <c r="AR22" s="1"/>
      <c r="AS22" s="1"/>
      <c r="AT22" s="41">
        <v>8885</v>
      </c>
      <c r="AU22" s="1"/>
      <c r="AV22" s="1">
        <v>10485</v>
      </c>
      <c r="AW22" s="1">
        <v>16508</v>
      </c>
      <c r="AX22" s="1"/>
      <c r="AY22" s="1">
        <v>12500</v>
      </c>
      <c r="AZ22" s="1"/>
      <c r="BA22" s="1">
        <v>200912</v>
      </c>
      <c r="BB22" s="18"/>
      <c r="BC22" s="18">
        <v>8282</v>
      </c>
      <c r="BD22" s="1">
        <v>11105</v>
      </c>
      <c r="BE22" s="1"/>
      <c r="BF22" s="1"/>
      <c r="BG22" s="1"/>
      <c r="BH22" s="1"/>
      <c r="BJ22" s="1">
        <v>115000</v>
      </c>
      <c r="BK22" s="1">
        <v>8900</v>
      </c>
      <c r="BL22" s="1">
        <v>6455</v>
      </c>
      <c r="BM22" s="1"/>
      <c r="BN22" s="1">
        <v>1900</v>
      </c>
      <c r="BO22" s="1"/>
      <c r="BP22" s="1"/>
      <c r="BQ22" s="1">
        <v>44960</v>
      </c>
      <c r="BR22" s="1">
        <f>1483+2600</f>
        <v>4083</v>
      </c>
      <c r="BS22" s="1">
        <v>94555</v>
      </c>
      <c r="BT22" s="1"/>
      <c r="BU22" s="1">
        <v>13440</v>
      </c>
      <c r="BV22" s="1"/>
      <c r="BW22" s="41"/>
      <c r="BX22" s="1">
        <v>4288</v>
      </c>
      <c r="BY22" s="1"/>
      <c r="BZ22" s="1">
        <v>600</v>
      </c>
      <c r="CA22" s="1"/>
      <c r="CB22" s="1">
        <v>16359</v>
      </c>
      <c r="CC22" s="1">
        <v>4800</v>
      </c>
      <c r="CD22" s="1"/>
      <c r="CE22" s="1">
        <v>30169</v>
      </c>
      <c r="CF22" s="1">
        <v>8825</v>
      </c>
      <c r="CG22" s="1">
        <v>18600</v>
      </c>
      <c r="CH22" s="1"/>
      <c r="CI22" s="1"/>
      <c r="CJ22" s="1"/>
      <c r="CK22" s="1">
        <v>3510</v>
      </c>
      <c r="CL22" s="1">
        <v>8341</v>
      </c>
      <c r="CM22" s="1">
        <v>28010</v>
      </c>
      <c r="CN22" s="1"/>
      <c r="CO22" s="1">
        <v>6560</v>
      </c>
      <c r="CP22" s="1"/>
      <c r="CQ22" s="1"/>
      <c r="CR22" s="2">
        <v>45924</v>
      </c>
      <c r="CS22" s="1">
        <v>14500</v>
      </c>
      <c r="CT22" s="2">
        <v>13452</v>
      </c>
      <c r="CV22" s="1">
        <v>43832</v>
      </c>
      <c r="CW22" s="1">
        <f>540+15630</f>
        <v>16170</v>
      </c>
      <c r="CX22" s="41"/>
      <c r="CY22" s="1"/>
      <c r="CZ22" s="1">
        <v>35932</v>
      </c>
      <c r="DA22" s="1">
        <v>14823</v>
      </c>
      <c r="DB22" s="1">
        <v>27795</v>
      </c>
      <c r="DC22" s="1"/>
      <c r="DD22" s="1">
        <v>53420</v>
      </c>
      <c r="DE22" s="1"/>
      <c r="DF22" s="1">
        <v>27876</v>
      </c>
      <c r="DG22" s="1">
        <v>33417</v>
      </c>
      <c r="DH22" s="1"/>
      <c r="DI22" s="1">
        <v>66290</v>
      </c>
      <c r="DJ22" s="1">
        <v>48500</v>
      </c>
      <c r="DK22" s="1">
        <v>19600</v>
      </c>
      <c r="DL22" s="1"/>
      <c r="DM22" s="1">
        <v>36464</v>
      </c>
      <c r="DN22" s="1"/>
      <c r="DO22" s="1">
        <v>2175</v>
      </c>
      <c r="DP22" s="1"/>
      <c r="DQ22" s="1">
        <v>2725</v>
      </c>
      <c r="DR22" s="1">
        <v>32425</v>
      </c>
      <c r="DS22" s="1"/>
      <c r="DT22" s="1"/>
      <c r="DU22" s="1"/>
      <c r="DV22" s="1">
        <v>50000</v>
      </c>
      <c r="DW22" s="1">
        <v>2375</v>
      </c>
      <c r="DX22" s="1"/>
      <c r="DY22" s="1">
        <v>16618</v>
      </c>
      <c r="DZ22" s="1">
        <v>36450</v>
      </c>
      <c r="EA22" s="1">
        <v>35578</v>
      </c>
      <c r="EB22" s="1">
        <v>15730</v>
      </c>
      <c r="EC22" s="1">
        <v>23365</v>
      </c>
      <c r="ED22" s="1">
        <v>30715</v>
      </c>
      <c r="EE22" s="1">
        <v>17410</v>
      </c>
      <c r="EF22" s="1">
        <v>8000</v>
      </c>
      <c r="EG22" s="1">
        <v>21070</v>
      </c>
      <c r="EH22" s="1">
        <v>3850</v>
      </c>
      <c r="EI22" s="1">
        <v>45190</v>
      </c>
      <c r="EJ22" s="1">
        <f>3750+12625</f>
        <v>16375</v>
      </c>
      <c r="EK22" s="1"/>
      <c r="EL22" s="1">
        <v>7123</v>
      </c>
      <c r="EM22" s="1">
        <v>66600</v>
      </c>
      <c r="EN22" s="1">
        <v>31290</v>
      </c>
      <c r="EO22" s="1">
        <v>46025</v>
      </c>
      <c r="EP22" s="1"/>
      <c r="EQ22" s="1">
        <v>25003</v>
      </c>
      <c r="ER22" s="1"/>
      <c r="ES22" s="1"/>
      <c r="ET22" s="1">
        <v>39668</v>
      </c>
      <c r="EU22" s="1">
        <v>31866</v>
      </c>
      <c r="EV22" s="18"/>
      <c r="EW22" s="1"/>
      <c r="EX22" s="1"/>
      <c r="EY22" s="1">
        <v>50530</v>
      </c>
      <c r="EZ22" s="1"/>
      <c r="FA22" s="1"/>
      <c r="FB22" s="1"/>
      <c r="FC22" s="1">
        <v>17000</v>
      </c>
      <c r="FD22" s="1">
        <v>34830</v>
      </c>
      <c r="FE22" s="1"/>
      <c r="FF22" s="1">
        <v>56875</v>
      </c>
      <c r="FG22" s="1">
        <v>27706</v>
      </c>
      <c r="FH22" s="1">
        <v>11520</v>
      </c>
      <c r="FI22" s="1"/>
      <c r="FJ22" s="1">
        <v>19566</v>
      </c>
      <c r="FL22" s="1">
        <v>23170</v>
      </c>
      <c r="FM22" s="1">
        <v>36675</v>
      </c>
      <c r="FN22" s="1">
        <v>780</v>
      </c>
      <c r="FO22" s="1">
        <v>1800</v>
      </c>
      <c r="FP22" s="1"/>
      <c r="FQ22" s="1" t="s">
        <v>50</v>
      </c>
      <c r="FR22" s="1">
        <v>18420</v>
      </c>
      <c r="FS22" s="1">
        <v>110001</v>
      </c>
      <c r="FT22" s="1">
        <v>90484</v>
      </c>
      <c r="FU22" s="1">
        <v>15246</v>
      </c>
      <c r="FV22" s="41"/>
      <c r="FW22" s="1" t="s">
        <v>50</v>
      </c>
      <c r="FX22" s="1"/>
      <c r="FY22" s="1">
        <v>28959</v>
      </c>
      <c r="FZ22" s="1">
        <v>61588</v>
      </c>
      <c r="GA22" s="1">
        <v>97527</v>
      </c>
      <c r="GB22" s="1">
        <v>14500</v>
      </c>
      <c r="GC22" s="1">
        <v>5150</v>
      </c>
      <c r="GD22" s="1">
        <v>162175</v>
      </c>
      <c r="GE22" s="1">
        <f>6462+5014</f>
        <v>11476</v>
      </c>
      <c r="GF22" s="1">
        <v>43860</v>
      </c>
      <c r="GG22" s="1"/>
      <c r="GH22" s="1">
        <v>21000</v>
      </c>
      <c r="GI22" s="1">
        <v>66644</v>
      </c>
      <c r="GJ22" s="18">
        <v>15700</v>
      </c>
      <c r="GK22" s="1"/>
      <c r="GL22" s="1"/>
      <c r="GM22" s="1">
        <v>16072</v>
      </c>
      <c r="GN22" s="1">
        <v>81175</v>
      </c>
      <c r="GO22" s="1">
        <v>108692</v>
      </c>
      <c r="GP22" s="1">
        <v>28090</v>
      </c>
    </row>
    <row r="23" spans="1:198" s="2" customFormat="1" ht="15.75" thickBot="1">
      <c r="A23" s="2" t="s">
        <v>13</v>
      </c>
      <c r="B23" s="44">
        <v>20</v>
      </c>
      <c r="C23" s="41"/>
      <c r="D23" s="1">
        <v>1000</v>
      </c>
      <c r="E23" s="1">
        <f>4056-134</f>
        <v>3922</v>
      </c>
      <c r="F23" s="1"/>
      <c r="G23" s="1"/>
      <c r="H23" s="1">
        <v>25</v>
      </c>
      <c r="I23" s="1">
        <v>90</v>
      </c>
      <c r="J23" s="1">
        <f>2000+3310+2529</f>
        <v>7839</v>
      </c>
      <c r="K23" s="1">
        <f>5756-2500-60</f>
        <v>3196</v>
      </c>
      <c r="L23" s="44">
        <f>10800+559</f>
        <v>11359</v>
      </c>
      <c r="M23" s="1">
        <f>2691-152</f>
        <v>2539</v>
      </c>
      <c r="N23" s="1">
        <f>4319+150</f>
        <v>4469</v>
      </c>
      <c r="O23" s="1">
        <f>5958-805</f>
        <v>5153</v>
      </c>
      <c r="P23" s="1">
        <v>52</v>
      </c>
      <c r="Q23" s="1">
        <f>1701+2419</f>
        <v>4120</v>
      </c>
      <c r="R23" s="1">
        <v>433</v>
      </c>
      <c r="S23" s="1">
        <v>408</v>
      </c>
      <c r="T23" s="1">
        <v>1575</v>
      </c>
      <c r="U23" s="1">
        <f>1988-601-12+11765</f>
        <v>13140</v>
      </c>
      <c r="V23" s="1">
        <f>48000+3554</f>
        <v>51554</v>
      </c>
      <c r="W23" s="1">
        <f>520+168</f>
        <v>688</v>
      </c>
      <c r="X23" s="1">
        <f>6343-719-642-400</f>
        <v>4582</v>
      </c>
      <c r="Y23" s="1">
        <f>1077+2000</f>
        <v>3077</v>
      </c>
      <c r="Z23" s="1">
        <f>750+1132</f>
        <v>1882</v>
      </c>
      <c r="AA23" s="1">
        <v>25389</v>
      </c>
      <c r="AB23" s="1">
        <f>12994+13089+1621</f>
        <v>27704</v>
      </c>
      <c r="AC23" s="1">
        <v>28093</v>
      </c>
      <c r="AD23" s="1"/>
      <c r="AE23" s="1">
        <f>16936-4068-2066-849-1625+1417</f>
        <v>9745</v>
      </c>
      <c r="AF23" s="1">
        <v>25</v>
      </c>
      <c r="AG23" s="1">
        <v>50</v>
      </c>
      <c r="AH23" s="1">
        <v>1675</v>
      </c>
      <c r="AI23" s="1">
        <v>515</v>
      </c>
      <c r="AJ23" s="1">
        <f>3979+36000</f>
        <v>39979</v>
      </c>
      <c r="AK23" s="1">
        <v>3783</v>
      </c>
      <c r="AL23" s="1">
        <v>45375</v>
      </c>
      <c r="AM23" s="1">
        <v>641</v>
      </c>
      <c r="AN23" s="1">
        <v>2425</v>
      </c>
      <c r="AO23" s="1">
        <f>2546+13475</f>
        <v>16021</v>
      </c>
      <c r="AP23" s="1">
        <f>4332-2641+591679+168626</f>
        <v>761996</v>
      </c>
      <c r="AQ23" s="1">
        <v>5310</v>
      </c>
      <c r="AR23" s="1">
        <v>3650</v>
      </c>
      <c r="AS23" s="1">
        <f>9202+9695-4958</f>
        <v>13939</v>
      </c>
      <c r="AT23" s="44">
        <v>5065</v>
      </c>
      <c r="AU23" s="1">
        <v>815</v>
      </c>
      <c r="AV23" s="1">
        <f>21500+35384</f>
        <v>56884</v>
      </c>
      <c r="AW23" s="1">
        <v>4566</v>
      </c>
      <c r="AX23" s="1">
        <f>5631-216-250</f>
        <v>5165</v>
      </c>
      <c r="AY23" s="1">
        <f>13969-4090</f>
        <v>9879</v>
      </c>
      <c r="AZ23" s="1">
        <f>17639-1224-228-5039</f>
        <v>11148</v>
      </c>
      <c r="BA23" s="1"/>
      <c r="BB23" s="18">
        <f>3693+225+3970</f>
        <v>7888</v>
      </c>
      <c r="BC23" s="18">
        <v>0</v>
      </c>
      <c r="BD23" s="1">
        <f>7193+1798</f>
        <v>8991</v>
      </c>
      <c r="BE23" s="1">
        <v>6660</v>
      </c>
      <c r="BF23" s="1">
        <v>28168</v>
      </c>
      <c r="BG23" s="1">
        <v>519</v>
      </c>
      <c r="BH23" s="1">
        <v>5771</v>
      </c>
      <c r="BI23" s="2">
        <f>1075+3453</f>
        <v>4528</v>
      </c>
      <c r="BJ23" s="1"/>
      <c r="BK23" s="1">
        <v>2658</v>
      </c>
      <c r="BL23" s="1">
        <f>20233+20800+67662+43462</f>
        <v>152157</v>
      </c>
      <c r="BM23" s="1">
        <f>82300-9970-2698-3960-15750-20016-1300</f>
        <v>28606</v>
      </c>
      <c r="BN23" s="1">
        <f>31637-5203-292-14000-4500-1900</f>
        <v>5742</v>
      </c>
      <c r="BO23" s="1">
        <v>7500</v>
      </c>
      <c r="BP23" s="1">
        <v>9815</v>
      </c>
      <c r="BQ23" s="1">
        <f>30064-650-5000-600-2619</f>
        <v>21195</v>
      </c>
      <c r="BR23" s="1">
        <f>16964-205</f>
        <v>16759</v>
      </c>
      <c r="BS23" s="1">
        <v>2800</v>
      </c>
      <c r="BT23" s="1">
        <f>5838+2896-556</f>
        <v>8178</v>
      </c>
      <c r="BU23" s="1">
        <v>3044</v>
      </c>
      <c r="BV23" s="1">
        <f>14644-658</f>
        <v>13986</v>
      </c>
      <c r="BW23" s="44">
        <f>7546-1800-446</f>
        <v>5300</v>
      </c>
      <c r="BX23" s="1">
        <f>1450+450</f>
        <v>1900</v>
      </c>
      <c r="BY23" s="1">
        <f>8323+6660+40</f>
        <v>15023</v>
      </c>
      <c r="BZ23" s="1">
        <f>1787+27335+60797</f>
        <v>89919</v>
      </c>
      <c r="CA23" s="1">
        <v>12</v>
      </c>
      <c r="CB23" s="1">
        <f>30911+7971+4500</f>
        <v>43382</v>
      </c>
      <c r="CC23" s="1">
        <f>4084-944+3937</f>
        <v>7077</v>
      </c>
      <c r="CD23" s="1">
        <v>2209</v>
      </c>
      <c r="CE23" s="1">
        <v>38509</v>
      </c>
      <c r="CF23" s="1">
        <f>24945-7164-3600</f>
        <v>14181</v>
      </c>
      <c r="CG23" s="1">
        <v>1655</v>
      </c>
      <c r="CH23" s="1">
        <f>4320-1450-166</f>
        <v>2704</v>
      </c>
      <c r="CI23" s="1">
        <f>25000+3586</f>
        <v>28586</v>
      </c>
      <c r="CJ23" s="1">
        <f>11593-2534</f>
        <v>9059</v>
      </c>
      <c r="CK23" s="1">
        <v>2253</v>
      </c>
      <c r="CL23" s="1">
        <f>823+1803</f>
        <v>2626</v>
      </c>
      <c r="CM23" s="1">
        <f>16850-2025-8365-1992</f>
        <v>4468</v>
      </c>
      <c r="CN23" s="1">
        <v>9198</v>
      </c>
      <c r="CO23" s="1">
        <v>31327</v>
      </c>
      <c r="CP23" s="1">
        <f>900+16500+30</f>
        <v>17430</v>
      </c>
      <c r="CQ23" s="1">
        <v>5063</v>
      </c>
      <c r="CR23" s="1">
        <f>45+7000</f>
        <v>7045</v>
      </c>
      <c r="CS23" s="1">
        <v>13674</v>
      </c>
      <c r="CT23" s="1">
        <v>2900</v>
      </c>
      <c r="CU23" s="1">
        <f>3698+2864</f>
        <v>6562</v>
      </c>
      <c r="CV23" s="1">
        <f>788+9010</f>
        <v>9798</v>
      </c>
      <c r="CW23" s="1">
        <f>5709+1242+1047+513</f>
        <v>8511</v>
      </c>
      <c r="CX23" s="41">
        <v>10901</v>
      </c>
      <c r="CY23" s="1">
        <f>4923+2998+1000</f>
        <v>8921</v>
      </c>
      <c r="CZ23" s="1">
        <f>79517+58090-733-1030-26477-1055</f>
        <v>108312</v>
      </c>
      <c r="DA23" s="1">
        <f>215+450+177</f>
        <v>842</v>
      </c>
      <c r="DB23" s="1">
        <f>8221-3736</f>
        <v>4485</v>
      </c>
      <c r="DC23" s="1">
        <f>3759+2832</f>
        <v>6591</v>
      </c>
      <c r="DD23" s="1">
        <f>2245+1500+4506+358+950</f>
        <v>9559</v>
      </c>
      <c r="DE23" s="1">
        <v>11098</v>
      </c>
      <c r="DF23" s="1">
        <v>22875</v>
      </c>
      <c r="DG23" s="1">
        <f>15880+300+1006</f>
        <v>17186</v>
      </c>
      <c r="DH23" s="1">
        <f>33427-2400</f>
        <v>31027</v>
      </c>
      <c r="DI23" s="1">
        <f>70+402</f>
        <v>472</v>
      </c>
      <c r="DJ23" s="1">
        <v>3367</v>
      </c>
      <c r="DK23" s="1">
        <v>4494</v>
      </c>
      <c r="DL23" s="1">
        <f>84010-2000-8400-21045+5021-41062</f>
        <v>16524</v>
      </c>
      <c r="DM23" s="1">
        <v>14480</v>
      </c>
      <c r="DN23" s="1">
        <v>1424</v>
      </c>
      <c r="DO23" s="1">
        <v>299</v>
      </c>
      <c r="DP23" s="1">
        <f>11700+6220+9878</f>
        <v>27798</v>
      </c>
      <c r="DQ23" s="1">
        <v>6000</v>
      </c>
      <c r="DR23" s="1">
        <v>2846</v>
      </c>
      <c r="DS23" s="1">
        <f>1350+7443-562</f>
        <v>8231</v>
      </c>
      <c r="DT23" s="1">
        <f>24803-1655-1563</f>
        <v>21585</v>
      </c>
      <c r="DU23" s="1">
        <f>20874-2709-9515</f>
        <v>8650</v>
      </c>
      <c r="DV23" s="1">
        <f>12907-7342-595-250</f>
        <v>4720</v>
      </c>
      <c r="DW23" s="1">
        <f>250+15049+900</f>
        <v>16199</v>
      </c>
      <c r="DX23" s="1">
        <v>595</v>
      </c>
      <c r="DY23" s="1"/>
      <c r="DZ23" s="1">
        <f>60707-1428</f>
        <v>59279</v>
      </c>
      <c r="EA23" s="1">
        <f>480+6755</f>
        <v>7235</v>
      </c>
      <c r="EB23" s="1">
        <f>5727+10086+487</f>
        <v>16300</v>
      </c>
      <c r="EC23" s="1">
        <f>6290+518</f>
        <v>6808</v>
      </c>
      <c r="ED23" s="1">
        <f>30700+3839-13842</f>
        <v>20697</v>
      </c>
      <c r="EE23" s="1">
        <f>30626-474-3270-4200</f>
        <v>22682</v>
      </c>
      <c r="EF23" s="1">
        <f>28583-2726</f>
        <v>25857</v>
      </c>
      <c r="EG23" s="1">
        <v>19826</v>
      </c>
      <c r="EH23" s="1">
        <f>5638+450</f>
        <v>6088</v>
      </c>
      <c r="EI23" s="1">
        <v>19552</v>
      </c>
      <c r="EJ23" s="1">
        <f>30128+6589</f>
        <v>36717</v>
      </c>
      <c r="EK23" s="1">
        <f>150+215000-7924</f>
        <v>207226</v>
      </c>
      <c r="EL23" s="1">
        <v>1900</v>
      </c>
      <c r="EM23" s="1">
        <f>16480+670</f>
        <v>17150</v>
      </c>
      <c r="EN23" s="1">
        <v>5675</v>
      </c>
      <c r="EO23" s="1">
        <f>4864+7100+1075+1119+2625+1698+5560</f>
        <v>24041</v>
      </c>
      <c r="EP23" s="1"/>
      <c r="EQ23" s="1">
        <f>1+2846</f>
        <v>2847</v>
      </c>
      <c r="ER23" s="1">
        <f>87881-30678-22200</f>
        <v>35003</v>
      </c>
      <c r="ES23" s="1">
        <f>17269+1066</f>
        <v>18335</v>
      </c>
      <c r="ET23" s="1">
        <f>125+18462+3583+60</f>
        <v>22230</v>
      </c>
      <c r="EU23" s="1">
        <v>5660</v>
      </c>
      <c r="EV23" s="18">
        <f>2340+7775</f>
        <v>10115</v>
      </c>
      <c r="EW23" s="1">
        <v>49427</v>
      </c>
      <c r="EX23" s="1">
        <f>26405-2410-5717-8560</f>
        <v>9718</v>
      </c>
      <c r="EY23" s="1">
        <f>27480-12937-3000-4500</f>
        <v>7043</v>
      </c>
      <c r="EZ23" s="1">
        <v>24984</v>
      </c>
      <c r="FA23" s="1">
        <v>13787</v>
      </c>
      <c r="FB23" s="1">
        <v>25816</v>
      </c>
      <c r="FC23" s="1">
        <v>4145</v>
      </c>
      <c r="FD23" s="1">
        <v>73827</v>
      </c>
      <c r="FE23" s="1">
        <f>11137+2493</f>
        <v>13630</v>
      </c>
      <c r="FF23" s="1">
        <f>44961-500-29051</f>
        <v>15410</v>
      </c>
      <c r="FG23" s="1">
        <f>4000+10299+12750-23</f>
        <v>27026</v>
      </c>
      <c r="FH23" s="1">
        <v>176941</v>
      </c>
      <c r="FI23" s="1">
        <f>162894-45799</f>
        <v>117095</v>
      </c>
      <c r="FJ23" s="1">
        <f>41597-976-19470-19566</f>
        <v>1585</v>
      </c>
      <c r="FK23" s="2">
        <v>18726</v>
      </c>
      <c r="FL23" s="1">
        <f>53566-6400-3879-18000</f>
        <v>25287</v>
      </c>
      <c r="FM23" s="1">
        <v>53762</v>
      </c>
      <c r="FN23" s="1">
        <v>43674</v>
      </c>
      <c r="FO23" s="1">
        <f>6628+8916</f>
        <v>15544</v>
      </c>
      <c r="FP23" s="1">
        <v>3939</v>
      </c>
      <c r="FQ23" s="1">
        <v>24005</v>
      </c>
      <c r="FR23" s="1">
        <v>25573</v>
      </c>
      <c r="FS23" s="1">
        <f>28000+400+5356</f>
        <v>33756</v>
      </c>
      <c r="FT23" s="1">
        <f>44797-6600-6989-1400-9853</f>
        <v>19955</v>
      </c>
      <c r="FU23" s="1">
        <v>16820</v>
      </c>
      <c r="FV23" s="41">
        <f>8069+1050-435</f>
        <v>8684</v>
      </c>
      <c r="FW23" s="1">
        <v>7170</v>
      </c>
      <c r="FX23" s="1">
        <v>22063</v>
      </c>
      <c r="FY23" s="1">
        <f>16723+23663+6562+2650+3875</f>
        <v>53473</v>
      </c>
      <c r="FZ23" s="1">
        <f>14400+11509+65750</f>
        <v>91659</v>
      </c>
      <c r="GA23" s="1">
        <f>75000+3701+9107+25+250+1950+16500</f>
        <v>106533</v>
      </c>
      <c r="GB23" s="1">
        <f>124132+37088-14500</f>
        <v>146720</v>
      </c>
      <c r="GC23" s="1">
        <v>48508</v>
      </c>
      <c r="GD23" s="1">
        <v>207005</v>
      </c>
      <c r="GE23" s="1">
        <f>108060-8417-5014-6462-16219-24150</f>
        <v>47798</v>
      </c>
      <c r="GF23" s="1">
        <f>39868-7288-5200</f>
        <v>27380</v>
      </c>
      <c r="GG23" s="1">
        <f>175467-23000-30719-30529-15733</f>
        <v>75486</v>
      </c>
      <c r="GH23" s="1">
        <f>7378+20873</f>
        <v>28251</v>
      </c>
      <c r="GI23" s="1">
        <v>9313</v>
      </c>
      <c r="GJ23" s="18">
        <v>118822</v>
      </c>
      <c r="GK23" s="1">
        <f>61991-3174-20250</f>
        <v>38567</v>
      </c>
      <c r="GL23" s="1">
        <f>111789-1425-5300</f>
        <v>105064</v>
      </c>
      <c r="GM23" s="1">
        <f>108035+6146-16072-12700-10650-32376</f>
        <v>42383</v>
      </c>
      <c r="GN23" s="1">
        <f>17906+717</f>
        <v>18623</v>
      </c>
      <c r="GO23" s="1">
        <f>138791-53925-8264+51000</f>
        <v>127602</v>
      </c>
      <c r="GP23" s="1">
        <f>144400+58798-13192-17085</f>
        <v>172921</v>
      </c>
    </row>
    <row r="24" spans="1:198" s="2" customFormat="1" ht="1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9"/>
      <c r="BC24" s="19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19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19"/>
      <c r="GK24" s="7"/>
      <c r="GL24" s="7"/>
      <c r="GM24" s="7"/>
      <c r="GN24" s="7"/>
      <c r="GO24" s="7"/>
      <c r="GP24" s="7"/>
    </row>
    <row r="25" spans="1:198" s="2" customFormat="1" ht="15.75" thickBot="1">
      <c r="A25" s="12" t="s">
        <v>14</v>
      </c>
      <c r="B25" s="1">
        <f aca="true" t="shared" si="0" ref="B25:AI25">SUM(B8:B23)</f>
        <v>40566</v>
      </c>
      <c r="C25" s="1">
        <f t="shared" si="0"/>
        <v>142577</v>
      </c>
      <c r="D25" s="1">
        <f t="shared" si="0"/>
        <v>139436</v>
      </c>
      <c r="E25" s="1">
        <f t="shared" si="0"/>
        <v>247198</v>
      </c>
      <c r="F25" s="1">
        <f t="shared" si="0"/>
        <v>77062</v>
      </c>
      <c r="G25" s="1">
        <f t="shared" si="0"/>
        <v>159467</v>
      </c>
      <c r="H25" s="1">
        <f t="shared" si="0"/>
        <v>63818</v>
      </c>
      <c r="I25" s="1">
        <f t="shared" si="0"/>
        <v>753264</v>
      </c>
      <c r="J25" s="1">
        <f t="shared" si="0"/>
        <v>805140</v>
      </c>
      <c r="K25" s="1">
        <f t="shared" si="0"/>
        <v>617541</v>
      </c>
      <c r="L25" s="1">
        <f t="shared" si="0"/>
        <v>2148859</v>
      </c>
      <c r="M25" s="1">
        <f>SUM(M8:M23)</f>
        <v>230210</v>
      </c>
      <c r="N25" s="1">
        <f t="shared" si="0"/>
        <v>229732</v>
      </c>
      <c r="O25" s="1">
        <f t="shared" si="0"/>
        <v>546765</v>
      </c>
      <c r="P25" s="1">
        <f t="shared" si="0"/>
        <v>125251</v>
      </c>
      <c r="Q25" s="1">
        <f t="shared" si="0"/>
        <v>941929</v>
      </c>
      <c r="R25" s="1">
        <f t="shared" si="0"/>
        <v>858931</v>
      </c>
      <c r="S25" s="1">
        <f t="shared" si="0"/>
        <v>547128</v>
      </c>
      <c r="T25" s="1">
        <f t="shared" si="0"/>
        <v>206615</v>
      </c>
      <c r="U25" s="1">
        <f t="shared" si="0"/>
        <v>136303</v>
      </c>
      <c r="V25" s="1">
        <f t="shared" si="0"/>
        <v>1908864</v>
      </c>
      <c r="W25" s="1">
        <f t="shared" si="0"/>
        <v>326653</v>
      </c>
      <c r="X25" s="1">
        <f t="shared" si="0"/>
        <v>623504</v>
      </c>
      <c r="Y25" s="1">
        <f t="shared" si="0"/>
        <v>414858</v>
      </c>
      <c r="Z25" s="1">
        <f>SUM(Z8:Z23)</f>
        <v>821678</v>
      </c>
      <c r="AA25" s="1">
        <f t="shared" si="0"/>
        <v>515259</v>
      </c>
      <c r="AB25" s="1">
        <f>SUM(AB8:AB23)</f>
        <v>831895</v>
      </c>
      <c r="AC25" s="1">
        <f>SUM(AC8:AC23)</f>
        <v>2352981</v>
      </c>
      <c r="AD25" s="1">
        <f t="shared" si="0"/>
        <v>1200567</v>
      </c>
      <c r="AE25" s="1">
        <f>SUM(AE8:AE23)</f>
        <v>484949</v>
      </c>
      <c r="AF25" s="1">
        <f>SUM(AF8:AF23)</f>
        <v>1534306</v>
      </c>
      <c r="AG25" s="1">
        <f>SUM(AG8:AG23)</f>
        <v>2113762</v>
      </c>
      <c r="AH25" s="1">
        <f t="shared" si="0"/>
        <v>1573217</v>
      </c>
      <c r="AI25" s="1">
        <f t="shared" si="0"/>
        <v>1425728</v>
      </c>
      <c r="AJ25" s="1">
        <f>SUM(AJ8:AJ23)</f>
        <v>1253555</v>
      </c>
      <c r="AK25" s="1">
        <f aca="true" t="shared" si="1" ref="AK25:BR25">SUM(AK8:AK23)</f>
        <v>1096064</v>
      </c>
      <c r="AL25" s="1">
        <f t="shared" si="1"/>
        <v>854956</v>
      </c>
      <c r="AM25" s="1">
        <f>SUM(AM8:AM23)</f>
        <v>1482828</v>
      </c>
      <c r="AN25" s="1">
        <f>SUM(AN8:AN23)</f>
        <v>1202486</v>
      </c>
      <c r="AO25" s="1">
        <f t="shared" si="1"/>
        <v>1288062</v>
      </c>
      <c r="AP25" s="1">
        <f t="shared" si="1"/>
        <v>8658284</v>
      </c>
      <c r="AQ25" s="1">
        <f t="shared" si="1"/>
        <v>1629948</v>
      </c>
      <c r="AR25" s="1">
        <f t="shared" si="1"/>
        <v>639956</v>
      </c>
      <c r="AS25" s="1">
        <f t="shared" si="1"/>
        <v>3030491</v>
      </c>
      <c r="AT25" s="1">
        <f t="shared" si="1"/>
        <v>1025035</v>
      </c>
      <c r="AU25" s="1">
        <f>SUM(AU8:AU23)</f>
        <v>1810440</v>
      </c>
      <c r="AV25" s="1">
        <f t="shared" si="1"/>
        <v>339390</v>
      </c>
      <c r="AW25" s="1">
        <f t="shared" si="1"/>
        <v>3366456</v>
      </c>
      <c r="AX25" s="1">
        <f t="shared" si="1"/>
        <v>419398</v>
      </c>
      <c r="AY25" s="1">
        <f t="shared" si="1"/>
        <v>910618</v>
      </c>
      <c r="AZ25" s="1">
        <f t="shared" si="1"/>
        <v>2476858</v>
      </c>
      <c r="BA25" s="1">
        <f t="shared" si="1"/>
        <v>5822172</v>
      </c>
      <c r="BB25" s="18">
        <f>SUM(BB8:BB23)</f>
        <v>1518321</v>
      </c>
      <c r="BC25" s="18">
        <f>SUM(BC8:BC23)</f>
        <v>483533</v>
      </c>
      <c r="BD25" s="1">
        <f t="shared" si="1"/>
        <v>1642115</v>
      </c>
      <c r="BE25" s="1">
        <f t="shared" si="1"/>
        <v>1887348</v>
      </c>
      <c r="BF25" s="1">
        <f t="shared" si="1"/>
        <v>1152522</v>
      </c>
      <c r="BG25" s="1">
        <f t="shared" si="1"/>
        <v>1018245</v>
      </c>
      <c r="BH25" s="1">
        <f>SUM(BH8:BH23)</f>
        <v>2951957</v>
      </c>
      <c r="BI25" s="1">
        <f t="shared" si="1"/>
        <v>2571494</v>
      </c>
      <c r="BJ25" s="1">
        <f>SUM(BJ8:BJ23)</f>
        <v>4556098</v>
      </c>
      <c r="BK25" s="1">
        <f t="shared" si="1"/>
        <v>1947240</v>
      </c>
      <c r="BL25" s="1">
        <f t="shared" si="1"/>
        <v>4786479</v>
      </c>
      <c r="BM25" s="1">
        <f t="shared" si="1"/>
        <v>890496</v>
      </c>
      <c r="BN25" s="1">
        <f t="shared" si="1"/>
        <v>1682828</v>
      </c>
      <c r="BO25" s="1">
        <f t="shared" si="1"/>
        <v>3153772</v>
      </c>
      <c r="BP25" s="1">
        <f>SUM(BP8:BP23)</f>
        <v>3156483</v>
      </c>
      <c r="BQ25" s="1">
        <f t="shared" si="1"/>
        <v>2996677</v>
      </c>
      <c r="BR25" s="1">
        <f t="shared" si="1"/>
        <v>1084891</v>
      </c>
      <c r="BS25" s="1">
        <f aca="true" t="shared" si="2" ref="BS25:CY25">SUM(BS8:BS23)</f>
        <v>3865664</v>
      </c>
      <c r="BT25" s="1">
        <f t="shared" si="2"/>
        <v>799574</v>
      </c>
      <c r="BU25" s="1">
        <f>SUM(BU8:BU23)</f>
        <v>1840893</v>
      </c>
      <c r="BV25" s="1">
        <f t="shared" si="2"/>
        <v>955888</v>
      </c>
      <c r="BW25" s="1">
        <f t="shared" si="2"/>
        <v>2243235</v>
      </c>
      <c r="BX25" s="1">
        <f t="shared" si="2"/>
        <v>1861902</v>
      </c>
      <c r="BY25" s="1">
        <f t="shared" si="2"/>
        <v>4155854</v>
      </c>
      <c r="BZ25" s="1">
        <f t="shared" si="2"/>
        <v>1883442</v>
      </c>
      <c r="CA25" s="1">
        <f t="shared" si="2"/>
        <v>2409242</v>
      </c>
      <c r="CB25" s="1">
        <f t="shared" si="2"/>
        <v>4107591</v>
      </c>
      <c r="CC25" s="1">
        <f t="shared" si="2"/>
        <v>1297666</v>
      </c>
      <c r="CD25" s="1">
        <f t="shared" si="2"/>
        <v>1110183</v>
      </c>
      <c r="CE25" s="1">
        <f t="shared" si="2"/>
        <v>1349690</v>
      </c>
      <c r="CF25" s="1">
        <f>SUM(CF8:CF23)</f>
        <v>2586483</v>
      </c>
      <c r="CG25" s="1">
        <f t="shared" si="2"/>
        <v>633398</v>
      </c>
      <c r="CH25" s="1">
        <f t="shared" si="2"/>
        <v>1510386</v>
      </c>
      <c r="CI25" s="1">
        <f t="shared" si="2"/>
        <v>3403204</v>
      </c>
      <c r="CJ25" s="1">
        <f t="shared" si="2"/>
        <v>2196825</v>
      </c>
      <c r="CK25" s="1">
        <f t="shared" si="2"/>
        <v>1911944</v>
      </c>
      <c r="CL25" s="1">
        <f t="shared" si="2"/>
        <v>672171</v>
      </c>
      <c r="CM25" s="1">
        <f t="shared" si="2"/>
        <v>1968775</v>
      </c>
      <c r="CN25" s="1">
        <f t="shared" si="2"/>
        <v>2002645</v>
      </c>
      <c r="CO25" s="1">
        <f t="shared" si="2"/>
        <v>4273177</v>
      </c>
      <c r="CP25" s="1">
        <f>SUM(CP8:CP23)</f>
        <v>5820865</v>
      </c>
      <c r="CQ25" s="1">
        <f t="shared" si="2"/>
        <v>2057411</v>
      </c>
      <c r="CR25" s="1">
        <f t="shared" si="2"/>
        <v>4384953</v>
      </c>
      <c r="CS25" s="1">
        <f>SUM(CS8:CS23)</f>
        <v>2359297</v>
      </c>
      <c r="CT25" s="1">
        <f t="shared" si="2"/>
        <v>1760981</v>
      </c>
      <c r="CU25" s="1">
        <f t="shared" si="2"/>
        <v>2196888</v>
      </c>
      <c r="CV25" s="1">
        <f t="shared" si="2"/>
        <v>2178970</v>
      </c>
      <c r="CW25" s="1">
        <f t="shared" si="2"/>
        <v>1826788</v>
      </c>
      <c r="CX25" s="41">
        <f t="shared" si="2"/>
        <v>983217</v>
      </c>
      <c r="CY25" s="1">
        <f t="shared" si="2"/>
        <v>2180397</v>
      </c>
      <c r="CZ25" s="1">
        <f>SUM(CZ8:CZ23)</f>
        <v>3337269</v>
      </c>
      <c r="DA25" s="1">
        <f aca="true" t="shared" si="3" ref="DA25:EG25">SUM(DA8:DA23)</f>
        <v>5272732</v>
      </c>
      <c r="DB25" s="1">
        <f t="shared" si="3"/>
        <v>1155329</v>
      </c>
      <c r="DC25" s="1">
        <f>SUM(DC8:DC23)</f>
        <v>887466</v>
      </c>
      <c r="DD25" s="1">
        <f t="shared" si="3"/>
        <v>4364405</v>
      </c>
      <c r="DE25" s="1">
        <f>SUM(DE8:DE23)</f>
        <v>1673824</v>
      </c>
      <c r="DF25" s="1">
        <f>SUM(DF8:DF23)</f>
        <v>1669025</v>
      </c>
      <c r="DG25" s="1">
        <f t="shared" si="3"/>
        <v>3038563</v>
      </c>
      <c r="DH25" s="45">
        <f t="shared" si="3"/>
        <v>3637136</v>
      </c>
      <c r="DI25" s="1">
        <f t="shared" si="3"/>
        <v>3502269</v>
      </c>
      <c r="DJ25" s="1">
        <f>SUM(DJ8:DJ23)</f>
        <v>3905102</v>
      </c>
      <c r="DK25" s="1">
        <f t="shared" si="3"/>
        <v>1826280</v>
      </c>
      <c r="DL25" s="1">
        <f>SUM(DL8:DL23)</f>
        <v>5109289</v>
      </c>
      <c r="DM25" s="1">
        <f>SUM(DM8:DM23)</f>
        <v>2578414</v>
      </c>
      <c r="DN25" s="1">
        <f t="shared" si="3"/>
        <v>1098525</v>
      </c>
      <c r="DO25" s="1">
        <f t="shared" si="3"/>
        <v>1903415</v>
      </c>
      <c r="DP25" s="1">
        <f t="shared" si="3"/>
        <v>3944384</v>
      </c>
      <c r="DQ25" s="1">
        <f>SUM(DQ8:DQ23)</f>
        <v>2876978</v>
      </c>
      <c r="DR25" s="1">
        <f t="shared" si="3"/>
        <v>2321504</v>
      </c>
      <c r="DS25" s="1">
        <f t="shared" si="3"/>
        <v>3203807</v>
      </c>
      <c r="DT25" s="1">
        <f t="shared" si="3"/>
        <v>1435968</v>
      </c>
      <c r="DU25" s="1">
        <f>SUM(DU8:DU23)</f>
        <v>2104383</v>
      </c>
      <c r="DV25" s="1">
        <f t="shared" si="3"/>
        <v>1208972</v>
      </c>
      <c r="DW25" s="1">
        <f t="shared" si="3"/>
        <v>2849527</v>
      </c>
      <c r="DX25" s="1">
        <f t="shared" si="3"/>
        <v>2692681</v>
      </c>
      <c r="DY25" s="1">
        <f t="shared" si="3"/>
        <v>2317807</v>
      </c>
      <c r="DZ25" s="1">
        <f t="shared" si="3"/>
        <v>3059046</v>
      </c>
      <c r="EA25" s="1">
        <f t="shared" si="3"/>
        <v>2626702</v>
      </c>
      <c r="EB25" s="1">
        <f t="shared" si="3"/>
        <v>2429016</v>
      </c>
      <c r="EC25" s="1">
        <f t="shared" si="3"/>
        <v>1565520</v>
      </c>
      <c r="ED25" s="1">
        <f>SUM(ED8:ED23)</f>
        <v>1627262</v>
      </c>
      <c r="EE25" s="1">
        <f t="shared" si="3"/>
        <v>2433809</v>
      </c>
      <c r="EF25" s="1">
        <f t="shared" si="3"/>
        <v>2566673</v>
      </c>
      <c r="EG25" s="1">
        <f t="shared" si="3"/>
        <v>1669171</v>
      </c>
      <c r="EH25" s="1">
        <f>SUM(EH8:EH23)</f>
        <v>3931091</v>
      </c>
      <c r="EI25" s="1">
        <f>SUM(EI8:EI23)</f>
        <v>4265483</v>
      </c>
      <c r="EJ25" s="1">
        <f aca="true" t="shared" si="4" ref="EJ25:FF25">SUM(EJ8:EJ23)</f>
        <v>2489675</v>
      </c>
      <c r="EK25" s="1">
        <f t="shared" si="4"/>
        <v>13149174</v>
      </c>
      <c r="EL25" s="1">
        <f t="shared" si="4"/>
        <v>1834799</v>
      </c>
      <c r="EM25" s="1">
        <f t="shared" si="4"/>
        <v>3025154</v>
      </c>
      <c r="EN25" s="1">
        <f t="shared" si="4"/>
        <v>3283978</v>
      </c>
      <c r="EO25" s="1">
        <f t="shared" si="4"/>
        <v>1477350</v>
      </c>
      <c r="EP25" s="1">
        <f t="shared" si="4"/>
        <v>4208858</v>
      </c>
      <c r="EQ25" s="1">
        <f t="shared" si="4"/>
        <v>1355596</v>
      </c>
      <c r="ER25" s="1">
        <f t="shared" si="4"/>
        <v>6547666</v>
      </c>
      <c r="ES25" s="1">
        <f>SUM(ES8:ES23)</f>
        <v>5378464</v>
      </c>
      <c r="ET25" s="1">
        <f>SUM(ET8:ET23)</f>
        <v>4120506</v>
      </c>
      <c r="EU25" s="1">
        <f>SUM(EU8:EU23)</f>
        <v>3716602</v>
      </c>
      <c r="EV25" s="18">
        <f>SUM(EV8:EV23)</f>
        <v>3543716</v>
      </c>
      <c r="EW25" s="1">
        <f t="shared" si="4"/>
        <v>6993465</v>
      </c>
      <c r="EX25" s="1">
        <f>SUM(EX8:EX23)</f>
        <v>2915189</v>
      </c>
      <c r="EY25" s="1">
        <f t="shared" si="4"/>
        <v>4427827</v>
      </c>
      <c r="EZ25" s="1">
        <f t="shared" si="4"/>
        <v>2536396</v>
      </c>
      <c r="FA25" s="1">
        <f t="shared" si="4"/>
        <v>3806215</v>
      </c>
      <c r="FB25" s="1">
        <f>SUM(FB8:FB23)</f>
        <v>4302553</v>
      </c>
      <c r="FC25" s="1">
        <f t="shared" si="4"/>
        <v>3431027</v>
      </c>
      <c r="FD25" s="1">
        <f t="shared" si="4"/>
        <v>3425509</v>
      </c>
      <c r="FE25" s="1">
        <f t="shared" si="4"/>
        <v>5239684</v>
      </c>
      <c r="FF25" s="1">
        <f t="shared" si="4"/>
        <v>3775813</v>
      </c>
      <c r="FG25" s="1">
        <f aca="true" t="shared" si="5" ref="FG25:GP25">SUM(FG8:FG23)</f>
        <v>3315004</v>
      </c>
      <c r="FH25" s="1">
        <f>SUM(FH8:FH23)</f>
        <v>5714159</v>
      </c>
      <c r="FI25" s="1">
        <f t="shared" si="5"/>
        <v>9488289</v>
      </c>
      <c r="FJ25" s="1">
        <f t="shared" si="5"/>
        <v>1961461</v>
      </c>
      <c r="FK25" s="2">
        <f t="shared" si="5"/>
        <v>5007559</v>
      </c>
      <c r="FL25" s="1">
        <f t="shared" si="5"/>
        <v>6594040</v>
      </c>
      <c r="FM25" s="1">
        <f t="shared" si="5"/>
        <v>6759695</v>
      </c>
      <c r="FN25" s="1">
        <f>SUM(FN8:FN23)</f>
        <v>13558887</v>
      </c>
      <c r="FO25" s="1">
        <f t="shared" si="5"/>
        <v>3974559</v>
      </c>
      <c r="FP25" s="1">
        <f t="shared" si="5"/>
        <v>2256554</v>
      </c>
      <c r="FQ25" s="1">
        <f t="shared" si="5"/>
        <v>2714627</v>
      </c>
      <c r="FR25" s="1">
        <f t="shared" si="5"/>
        <v>5732967</v>
      </c>
      <c r="FS25" s="1">
        <f t="shared" si="5"/>
        <v>7143773</v>
      </c>
      <c r="FT25" s="1">
        <f t="shared" si="5"/>
        <v>8049419</v>
      </c>
      <c r="FU25" s="41">
        <f t="shared" si="5"/>
        <v>2959958</v>
      </c>
      <c r="FV25" s="41">
        <f t="shared" si="5"/>
        <v>3555050</v>
      </c>
      <c r="FW25" s="1">
        <f t="shared" si="5"/>
        <v>9722019</v>
      </c>
      <c r="FX25" s="1">
        <f t="shared" si="5"/>
        <v>12246647</v>
      </c>
      <c r="FY25" s="1">
        <f t="shared" si="5"/>
        <v>2776048</v>
      </c>
      <c r="FZ25" s="1">
        <f t="shared" si="5"/>
        <v>6838185</v>
      </c>
      <c r="GA25" s="1">
        <f>SUM(GA8:GA23)</f>
        <v>11437315</v>
      </c>
      <c r="GB25" s="1">
        <f t="shared" si="5"/>
        <v>6889570</v>
      </c>
      <c r="GC25" s="1">
        <f t="shared" si="5"/>
        <v>6769247</v>
      </c>
      <c r="GD25" s="1">
        <f>SUM(GD8:GD23)</f>
        <v>9132390</v>
      </c>
      <c r="GE25" s="1">
        <f>SUM(GE8:GE23)</f>
        <v>4880301</v>
      </c>
      <c r="GF25" s="1">
        <f t="shared" si="5"/>
        <v>3067726</v>
      </c>
      <c r="GG25" s="1">
        <f t="shared" si="5"/>
        <v>12297893</v>
      </c>
      <c r="GH25" s="1">
        <f>SUM(GH8:GH23)</f>
        <v>8476103</v>
      </c>
      <c r="GI25" s="1">
        <f t="shared" si="5"/>
        <v>9318571</v>
      </c>
      <c r="GJ25" s="18">
        <f t="shared" si="5"/>
        <v>12410172</v>
      </c>
      <c r="GK25" s="1">
        <f>SUM(GK8:GK23)</f>
        <v>9213362</v>
      </c>
      <c r="GL25" s="1">
        <f t="shared" si="5"/>
        <v>13502610</v>
      </c>
      <c r="GM25" s="1">
        <f>SUM(GM8:GM23)</f>
        <v>6359455</v>
      </c>
      <c r="GN25" s="1">
        <f>SUM(GN8:GN23)</f>
        <v>13012574</v>
      </c>
      <c r="GO25" s="1">
        <f t="shared" si="5"/>
        <v>20843198</v>
      </c>
      <c r="GP25" s="1">
        <f t="shared" si="5"/>
        <v>6794852</v>
      </c>
    </row>
    <row r="26" spans="1:198" s="2" customFormat="1" ht="15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19"/>
      <c r="BC26" s="19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46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19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19"/>
      <c r="GK26" s="7"/>
      <c r="GL26" s="7"/>
      <c r="GM26" s="7"/>
      <c r="GN26" s="7"/>
      <c r="GO26" s="7"/>
      <c r="GP26" s="7"/>
    </row>
    <row r="27" spans="1:198" s="2" customFormat="1" ht="15">
      <c r="A27" s="2" t="s">
        <v>15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8"/>
      <c r="BC27" s="18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4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8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4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8"/>
      <c r="GK27" s="1"/>
      <c r="GL27" s="1"/>
      <c r="GM27" s="1"/>
      <c r="GN27" s="1"/>
      <c r="GO27" s="1"/>
      <c r="GP27" s="1"/>
    </row>
    <row r="28" spans="1:198" s="2" customFormat="1" ht="15">
      <c r="A28" s="2" t="s">
        <v>16</v>
      </c>
      <c r="B28" s="40"/>
      <c r="C28" s="4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 t="s">
        <v>50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41"/>
      <c r="AU28" s="1"/>
      <c r="AV28" s="1"/>
      <c r="AW28" s="1">
        <v>569730</v>
      </c>
      <c r="AX28" s="1"/>
      <c r="AY28" s="1"/>
      <c r="AZ28" s="1"/>
      <c r="BA28" s="1"/>
      <c r="BB28" s="18"/>
      <c r="BC28" s="18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>
        <v>477180</v>
      </c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4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>
        <f>457167+68227</f>
        <v>525394</v>
      </c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 t="s">
        <v>50</v>
      </c>
      <c r="EN28" s="1"/>
      <c r="EO28" s="1"/>
      <c r="EP28" s="1"/>
      <c r="EQ28" s="1"/>
      <c r="ER28" s="1">
        <f>1939000+92516</f>
        <v>2031516</v>
      </c>
      <c r="ES28" s="1"/>
      <c r="EV28" s="18"/>
      <c r="EW28" s="1">
        <f>2011750+101793</f>
        <v>2113543</v>
      </c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>
        <f>745580+133836</f>
        <v>879416</v>
      </c>
      <c r="FJ28" s="1"/>
      <c r="FK28" s="2" t="s">
        <v>50</v>
      </c>
      <c r="FL28" s="1"/>
      <c r="FM28" s="1">
        <f>835000+137788</f>
        <v>972788</v>
      </c>
      <c r="FN28" s="1">
        <f>1916226+192103</f>
        <v>2108329</v>
      </c>
      <c r="FO28" s="1"/>
      <c r="FP28" s="1"/>
      <c r="FQ28" s="1"/>
      <c r="FR28" s="1"/>
      <c r="FS28" s="1"/>
      <c r="FT28" s="1"/>
      <c r="FU28" s="1" t="s">
        <v>50</v>
      </c>
      <c r="FV28" s="41"/>
      <c r="FW28" s="1">
        <f>2675833+166870</f>
        <v>2842703</v>
      </c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>
        <v>925000</v>
      </c>
      <c r="GI28" s="1" t="s">
        <v>50</v>
      </c>
      <c r="GJ28" s="18"/>
      <c r="GK28" s="1"/>
      <c r="GL28" s="1">
        <f>1782500+305142</f>
        <v>2087642</v>
      </c>
      <c r="GM28" s="1"/>
      <c r="GN28" s="1"/>
      <c r="GO28" s="1"/>
      <c r="GP28" s="1"/>
    </row>
    <row r="29" spans="1:198" s="2" customFormat="1" ht="15">
      <c r="A29" s="2" t="s">
        <v>17</v>
      </c>
      <c r="B29" s="40"/>
      <c r="C29" s="40"/>
      <c r="D29" s="1"/>
      <c r="E29" s="1">
        <v>100209</v>
      </c>
      <c r="F29" s="1">
        <v>27513</v>
      </c>
      <c r="G29" s="1"/>
      <c r="H29" s="1"/>
      <c r="I29" s="1"/>
      <c r="J29" s="1"/>
      <c r="K29" s="1"/>
      <c r="L29" s="1">
        <v>717529</v>
      </c>
      <c r="M29" s="1"/>
      <c r="N29" s="1">
        <v>403106</v>
      </c>
      <c r="O29" s="1"/>
      <c r="P29" s="1"/>
      <c r="Q29" s="1"/>
      <c r="R29" s="1"/>
      <c r="S29" s="1"/>
      <c r="T29" s="1"/>
      <c r="U29" s="1"/>
      <c r="V29" s="1">
        <v>824701</v>
      </c>
      <c r="W29" s="1"/>
      <c r="X29" s="1">
        <v>307923</v>
      </c>
      <c r="Y29" s="1">
        <v>160543</v>
      </c>
      <c r="Z29" s="1"/>
      <c r="AA29" s="1">
        <v>243899</v>
      </c>
      <c r="AB29" s="1"/>
      <c r="AC29" s="1">
        <v>1113738</v>
      </c>
      <c r="AD29" s="1"/>
      <c r="AE29" s="1">
        <v>196038</v>
      </c>
      <c r="AF29" s="1">
        <v>650932</v>
      </c>
      <c r="AG29" s="1"/>
      <c r="AH29" s="1">
        <v>512133</v>
      </c>
      <c r="AI29" s="1">
        <v>10511</v>
      </c>
      <c r="AJ29" s="1"/>
      <c r="AK29" s="1"/>
      <c r="AL29" s="1">
        <v>4326</v>
      </c>
      <c r="AM29" s="1">
        <v>630048</v>
      </c>
      <c r="AN29" s="1">
        <v>556005</v>
      </c>
      <c r="AO29" s="1">
        <v>480341</v>
      </c>
      <c r="AP29" s="1">
        <v>4018791</v>
      </c>
      <c r="AQ29" s="1">
        <v>598348</v>
      </c>
      <c r="AR29" s="1"/>
      <c r="AS29" s="1">
        <v>1171868</v>
      </c>
      <c r="AT29" s="41">
        <v>523928</v>
      </c>
      <c r="AU29" s="1">
        <v>1020288</v>
      </c>
      <c r="AV29" s="1"/>
      <c r="AW29" s="1">
        <v>848566</v>
      </c>
      <c r="AX29" s="1">
        <v>172748</v>
      </c>
      <c r="AY29" s="1">
        <v>340516</v>
      </c>
      <c r="AZ29" s="1">
        <v>1003988</v>
      </c>
      <c r="BA29" s="1">
        <v>2381533</v>
      </c>
      <c r="BB29" s="18"/>
      <c r="BC29" s="18">
        <v>209319</v>
      </c>
      <c r="BD29" s="1">
        <v>846684</v>
      </c>
      <c r="BE29" s="1">
        <v>1331276</v>
      </c>
      <c r="BF29" s="1">
        <v>548601</v>
      </c>
      <c r="BG29" s="1">
        <v>606936</v>
      </c>
      <c r="BH29" s="1">
        <v>1398176</v>
      </c>
      <c r="BI29" s="2">
        <v>963569</v>
      </c>
      <c r="BJ29" s="1">
        <v>2191165</v>
      </c>
      <c r="BK29" s="1"/>
      <c r="BL29" s="1">
        <v>2118641</v>
      </c>
      <c r="BM29" s="1">
        <v>451145</v>
      </c>
      <c r="BN29" s="1"/>
      <c r="BO29" s="1">
        <v>1291663</v>
      </c>
      <c r="BP29" s="1">
        <v>1414206</v>
      </c>
      <c r="BQ29" s="1">
        <v>1525353</v>
      </c>
      <c r="BR29" s="1">
        <v>12401</v>
      </c>
      <c r="BS29" s="1">
        <v>1931737</v>
      </c>
      <c r="BT29" s="1">
        <v>218514</v>
      </c>
      <c r="BU29" s="1">
        <v>763913</v>
      </c>
      <c r="BV29" s="1"/>
      <c r="BW29" s="1">
        <v>846210</v>
      </c>
      <c r="BX29" s="1">
        <v>8762</v>
      </c>
      <c r="BY29" s="1">
        <v>1803087</v>
      </c>
      <c r="BZ29" s="1">
        <v>14913</v>
      </c>
      <c r="CA29" s="1">
        <v>1157442</v>
      </c>
      <c r="CB29" s="1">
        <v>1692227</v>
      </c>
      <c r="CC29" s="1"/>
      <c r="CD29" s="1">
        <v>25367</v>
      </c>
      <c r="CE29" s="1">
        <v>18925</v>
      </c>
      <c r="CF29" s="1">
        <v>8327</v>
      </c>
      <c r="CG29" s="1"/>
      <c r="CH29" s="1">
        <v>847649</v>
      </c>
      <c r="CI29" s="1">
        <v>1477832</v>
      </c>
      <c r="CJ29" s="1">
        <v>1209947</v>
      </c>
      <c r="CK29" s="1">
        <v>978791</v>
      </c>
      <c r="CL29" s="1">
        <v>339667</v>
      </c>
      <c r="CM29" s="1">
        <v>844313</v>
      </c>
      <c r="CN29" s="1">
        <v>855285</v>
      </c>
      <c r="CO29" s="1">
        <v>1916811</v>
      </c>
      <c r="CP29" s="1">
        <v>2172481</v>
      </c>
      <c r="CQ29" s="1">
        <v>1006333</v>
      </c>
      <c r="CR29" s="1">
        <v>2369029</v>
      </c>
      <c r="CS29" s="1">
        <v>891896</v>
      </c>
      <c r="CT29" s="1">
        <v>820926</v>
      </c>
      <c r="CU29" s="1">
        <v>1002437</v>
      </c>
      <c r="CV29" s="1">
        <v>858979</v>
      </c>
      <c r="CW29" s="1">
        <v>920121</v>
      </c>
      <c r="CX29" s="41">
        <v>169504</v>
      </c>
      <c r="CY29" s="1">
        <v>13092</v>
      </c>
      <c r="CZ29" s="1">
        <v>1451540</v>
      </c>
      <c r="DA29" s="1">
        <v>2709438</v>
      </c>
      <c r="DB29" s="1">
        <v>21529</v>
      </c>
      <c r="DC29" s="1">
        <v>9571</v>
      </c>
      <c r="DD29" s="1">
        <v>2116977</v>
      </c>
      <c r="DE29" s="1">
        <v>13105</v>
      </c>
      <c r="DF29" s="1">
        <v>656168</v>
      </c>
      <c r="DG29" s="1">
        <v>1303655</v>
      </c>
      <c r="DH29" s="1">
        <v>9612</v>
      </c>
      <c r="DI29" s="1">
        <v>1872372</v>
      </c>
      <c r="DJ29" s="1"/>
      <c r="DK29" s="1"/>
      <c r="DL29" s="1">
        <v>2373494</v>
      </c>
      <c r="DM29" s="1">
        <v>765431</v>
      </c>
      <c r="DN29" s="1"/>
      <c r="DO29" s="1"/>
      <c r="DP29" s="1">
        <v>2059473</v>
      </c>
      <c r="DQ29" s="1">
        <v>1372416</v>
      </c>
      <c r="DR29" s="1">
        <v>1113458</v>
      </c>
      <c r="DS29" s="1">
        <v>1273726</v>
      </c>
      <c r="DT29" s="1">
        <v>13627</v>
      </c>
      <c r="DU29" s="1"/>
      <c r="DV29" s="1">
        <v>1090</v>
      </c>
      <c r="DW29" s="1">
        <v>1277789</v>
      </c>
      <c r="DX29" s="1"/>
      <c r="DY29" s="1">
        <v>1446930</v>
      </c>
      <c r="DZ29" s="1">
        <v>1521943</v>
      </c>
      <c r="EA29" s="1">
        <v>1366767</v>
      </c>
      <c r="EB29" s="1">
        <v>1341075</v>
      </c>
      <c r="EC29" s="1">
        <v>580566</v>
      </c>
      <c r="ED29" s="1"/>
      <c r="EE29" s="1">
        <v>1140897</v>
      </c>
      <c r="EF29" s="1">
        <v>495250</v>
      </c>
      <c r="EG29" s="1">
        <v>514044</v>
      </c>
      <c r="EH29" s="1">
        <v>1850255</v>
      </c>
      <c r="EI29" s="1">
        <v>2064851</v>
      </c>
      <c r="EJ29" s="1">
        <v>1498138</v>
      </c>
      <c r="EK29" s="1">
        <v>6351242</v>
      </c>
      <c r="EL29" s="1">
        <v>10746</v>
      </c>
      <c r="EM29" s="1">
        <v>1236239</v>
      </c>
      <c r="EN29" s="1">
        <v>1755576</v>
      </c>
      <c r="EO29" s="1"/>
      <c r="EP29" s="1">
        <v>1996537</v>
      </c>
      <c r="EQ29" s="1"/>
      <c r="ER29" s="1">
        <v>2761826</v>
      </c>
      <c r="ES29" s="1">
        <v>1471152</v>
      </c>
      <c r="ET29" s="1">
        <v>2178705</v>
      </c>
      <c r="EU29" s="1">
        <v>1998871</v>
      </c>
      <c r="EV29" s="18">
        <v>1817203</v>
      </c>
      <c r="EW29" s="1">
        <v>3189852</v>
      </c>
      <c r="EX29" s="1"/>
      <c r="EY29" s="1">
        <v>2316134</v>
      </c>
      <c r="EZ29" s="1">
        <v>6845</v>
      </c>
      <c r="FA29" s="1">
        <v>2090336</v>
      </c>
      <c r="FB29" s="1">
        <v>2190201</v>
      </c>
      <c r="FC29" s="1">
        <v>1975532</v>
      </c>
      <c r="FD29" s="1">
        <v>9859</v>
      </c>
      <c r="FE29" s="1">
        <v>2343542</v>
      </c>
      <c r="FF29" s="1">
        <v>10769</v>
      </c>
      <c r="FG29" s="1">
        <v>15809</v>
      </c>
      <c r="FH29" s="1">
        <v>19867</v>
      </c>
      <c r="FI29" s="1">
        <f>5828998+28648</f>
        <v>5857646</v>
      </c>
      <c r="FJ29" s="1">
        <v>566470</v>
      </c>
      <c r="FK29" s="2">
        <v>2299865</v>
      </c>
      <c r="FL29" s="1">
        <v>2957842</v>
      </c>
      <c r="FM29" s="1">
        <v>3978850</v>
      </c>
      <c r="FN29" s="1">
        <f>7053630+66316</f>
        <v>7119946</v>
      </c>
      <c r="FO29" s="1">
        <v>15402</v>
      </c>
      <c r="FP29" s="1"/>
      <c r="FQ29" s="1"/>
      <c r="FR29" s="1">
        <v>2928867</v>
      </c>
      <c r="FS29" s="1">
        <v>13243</v>
      </c>
      <c r="FT29" s="1">
        <v>5106023</v>
      </c>
      <c r="FU29" s="1">
        <v>1249595</v>
      </c>
      <c r="FV29" s="41">
        <v>15487</v>
      </c>
      <c r="FW29" s="1">
        <v>4673905</v>
      </c>
      <c r="FX29" s="1">
        <v>7098013</v>
      </c>
      <c r="FY29" s="1">
        <v>12932</v>
      </c>
      <c r="FZ29" s="1">
        <v>10594</v>
      </c>
      <c r="GA29" s="1">
        <v>5069656</v>
      </c>
      <c r="GB29" s="2">
        <v>17003</v>
      </c>
      <c r="GC29" s="1">
        <v>10184</v>
      </c>
      <c r="GD29" s="1"/>
      <c r="GE29" s="1">
        <v>29149</v>
      </c>
      <c r="GF29" s="1"/>
      <c r="GG29" s="1">
        <v>5002225</v>
      </c>
      <c r="GH29" s="1">
        <v>3565041</v>
      </c>
      <c r="GI29" s="1">
        <v>4468915</v>
      </c>
      <c r="GJ29" s="18">
        <v>8022946</v>
      </c>
      <c r="GK29" s="1">
        <v>17013</v>
      </c>
      <c r="GL29" s="1">
        <v>7544343</v>
      </c>
      <c r="GM29" s="1">
        <v>1345633</v>
      </c>
      <c r="GN29" s="1">
        <v>6774441</v>
      </c>
      <c r="GO29" s="1">
        <v>10977281</v>
      </c>
      <c r="GP29" s="1">
        <v>161501</v>
      </c>
    </row>
    <row r="30" spans="1:198" s="2" customFormat="1" ht="15">
      <c r="A30" s="2" t="s">
        <v>2</v>
      </c>
      <c r="B30" s="40"/>
      <c r="C30" s="40"/>
      <c r="D30" s="1"/>
      <c r="E30" s="1">
        <v>-13981</v>
      </c>
      <c r="F30" s="1">
        <v>-9230</v>
      </c>
      <c r="G30" s="1"/>
      <c r="H30" s="1"/>
      <c r="I30" s="1"/>
      <c r="J30" s="1"/>
      <c r="K30" s="1"/>
      <c r="L30" s="1">
        <v>-69803</v>
      </c>
      <c r="M30" s="1"/>
      <c r="N30" s="1">
        <v>-68040</v>
      </c>
      <c r="O30" s="1"/>
      <c r="P30" s="1"/>
      <c r="Q30" s="1"/>
      <c r="R30" s="1"/>
      <c r="S30" s="1"/>
      <c r="T30" s="1"/>
      <c r="U30" s="1"/>
      <c r="V30" s="1">
        <v>-116777</v>
      </c>
      <c r="W30" s="1"/>
      <c r="X30" s="1">
        <v>-46742</v>
      </c>
      <c r="Y30" s="1">
        <v>-22957</v>
      </c>
      <c r="Z30" s="1"/>
      <c r="AA30" s="1">
        <v>-47814</v>
      </c>
      <c r="AB30" s="1"/>
      <c r="AC30" s="1">
        <v>-141688</v>
      </c>
      <c r="AD30" s="1"/>
      <c r="AE30" s="1">
        <v>-29080</v>
      </c>
      <c r="AF30" s="1">
        <v>-85632</v>
      </c>
      <c r="AG30" s="1"/>
      <c r="AH30" s="1">
        <v>-81685</v>
      </c>
      <c r="AI30" s="1"/>
      <c r="AJ30" s="1"/>
      <c r="AK30" s="1"/>
      <c r="AL30" s="1"/>
      <c r="AM30" s="1">
        <v>-90531</v>
      </c>
      <c r="AN30" s="1">
        <v>-112295</v>
      </c>
      <c r="AO30" s="1">
        <v>-84836</v>
      </c>
      <c r="AP30" s="1">
        <v>-514938</v>
      </c>
      <c r="AQ30" s="1">
        <v>-106775</v>
      </c>
      <c r="AR30" s="1"/>
      <c r="AS30" s="1">
        <v>-136896</v>
      </c>
      <c r="AT30" s="41">
        <v>-80040</v>
      </c>
      <c r="AU30" s="1">
        <v>-168523</v>
      </c>
      <c r="AV30" s="1"/>
      <c r="AW30" s="1">
        <v>-140838</v>
      </c>
      <c r="AX30" s="1">
        <v>-33136</v>
      </c>
      <c r="AY30" s="1">
        <v>-63840</v>
      </c>
      <c r="AZ30" s="1">
        <v>-147533</v>
      </c>
      <c r="BA30" s="1">
        <v>-323862</v>
      </c>
      <c r="BB30" s="18"/>
      <c r="BC30" s="18">
        <v>-42760</v>
      </c>
      <c r="BD30" s="1">
        <v>-151320</v>
      </c>
      <c r="BE30" s="1">
        <v>-196929</v>
      </c>
      <c r="BF30" s="1"/>
      <c r="BG30" s="1">
        <v>-89351</v>
      </c>
      <c r="BH30" s="1">
        <v>-216886</v>
      </c>
      <c r="BI30" s="2">
        <v>-111783</v>
      </c>
      <c r="BJ30" s="1">
        <v>-308743</v>
      </c>
      <c r="BK30" s="1"/>
      <c r="BL30" s="1">
        <v>-255695</v>
      </c>
      <c r="BM30" s="1">
        <v>-72361</v>
      </c>
      <c r="BN30" s="1"/>
      <c r="BO30" s="1"/>
      <c r="BP30" s="1">
        <v>-191861</v>
      </c>
      <c r="BQ30" s="1">
        <v>-245658</v>
      </c>
      <c r="BR30" s="1"/>
      <c r="BS30" s="1">
        <v>-341416</v>
      </c>
      <c r="BT30" s="1">
        <v>-63346</v>
      </c>
      <c r="BU30" s="1">
        <v>-133820</v>
      </c>
      <c r="BV30" s="1"/>
      <c r="BW30" s="1">
        <v>-70497</v>
      </c>
      <c r="BX30" s="1"/>
      <c r="BY30" s="1">
        <v>-284951</v>
      </c>
      <c r="BZ30" s="1"/>
      <c r="CA30" s="1">
        <v>-197433</v>
      </c>
      <c r="CB30" s="1">
        <v>-270955</v>
      </c>
      <c r="CC30" s="1"/>
      <c r="CD30" s="1"/>
      <c r="CE30" s="1"/>
      <c r="CF30" s="1"/>
      <c r="CG30" s="1"/>
      <c r="CH30" s="1">
        <v>-124387</v>
      </c>
      <c r="CI30" s="1">
        <v>-204009</v>
      </c>
      <c r="CJ30" s="1">
        <v>-217604</v>
      </c>
      <c r="CK30" s="1">
        <v>-166692</v>
      </c>
      <c r="CL30" s="1">
        <v>-81526</v>
      </c>
      <c r="CM30" s="1">
        <v>-116669</v>
      </c>
      <c r="CN30" s="1">
        <v>-158783</v>
      </c>
      <c r="CO30" s="1">
        <v>-306641</v>
      </c>
      <c r="CP30" s="1">
        <v>-292157</v>
      </c>
      <c r="CQ30" s="1">
        <v>-157829</v>
      </c>
      <c r="CR30" s="1">
        <v>-401049</v>
      </c>
      <c r="CS30" s="1">
        <v>-120605</v>
      </c>
      <c r="CT30" s="1">
        <v>-50592</v>
      </c>
      <c r="CU30" s="1">
        <v>-203480</v>
      </c>
      <c r="CV30" s="1">
        <v>-135007</v>
      </c>
      <c r="CW30" s="1">
        <v>-166556</v>
      </c>
      <c r="CX30" s="41">
        <v>-50787</v>
      </c>
      <c r="CY30" s="1"/>
      <c r="CZ30" s="1">
        <v>-211319</v>
      </c>
      <c r="DA30" s="1">
        <v>-449237</v>
      </c>
      <c r="DB30" s="1"/>
      <c r="DC30" s="1"/>
      <c r="DD30" s="1">
        <v>-325066</v>
      </c>
      <c r="DE30" s="1"/>
      <c r="DF30" s="1">
        <v>-118140</v>
      </c>
      <c r="DG30" s="1">
        <v>-151719</v>
      </c>
      <c r="DH30" s="1"/>
      <c r="DI30" s="1">
        <v>-302210</v>
      </c>
      <c r="DJ30" s="1"/>
      <c r="DK30" s="1"/>
      <c r="DL30" s="1">
        <v>-412180</v>
      </c>
      <c r="DM30" s="1">
        <v>-145339</v>
      </c>
      <c r="DN30" s="1"/>
      <c r="DO30" s="1"/>
      <c r="DP30" s="1">
        <v>-251624</v>
      </c>
      <c r="DQ30" s="1">
        <v>-234469</v>
      </c>
      <c r="DR30" s="1">
        <v>-187578</v>
      </c>
      <c r="DS30" s="1">
        <v>-184985</v>
      </c>
      <c r="DT30" s="1"/>
      <c r="DU30" s="1"/>
      <c r="DV30" s="1"/>
      <c r="DW30" s="1">
        <v>-113342</v>
      </c>
      <c r="DX30" s="1"/>
      <c r="DY30" s="1">
        <v>-236000</v>
      </c>
      <c r="DZ30" s="1">
        <v>-143554</v>
      </c>
      <c r="EA30" s="1">
        <v>-171087</v>
      </c>
      <c r="EB30" s="1">
        <v>-197693</v>
      </c>
      <c r="EC30" s="1">
        <v>-166068</v>
      </c>
      <c r="ED30" s="1"/>
      <c r="EE30" s="1">
        <v>-177684</v>
      </c>
      <c r="EF30" s="1"/>
      <c r="EG30" s="1">
        <v>-150876</v>
      </c>
      <c r="EH30" s="1">
        <v>-244362</v>
      </c>
      <c r="EI30" s="1">
        <v>-270387</v>
      </c>
      <c r="EJ30" s="1">
        <v>-184274</v>
      </c>
      <c r="EK30" s="1">
        <v>-883336</v>
      </c>
      <c r="EL30" s="1"/>
      <c r="EM30" s="1">
        <v>-184880</v>
      </c>
      <c r="EN30" s="1">
        <v>-278528</v>
      </c>
      <c r="EO30" s="1"/>
      <c r="EP30" s="1">
        <v>-298090</v>
      </c>
      <c r="EQ30" s="1"/>
      <c r="ER30" s="1">
        <v>-108731</v>
      </c>
      <c r="ES30" s="1">
        <v>-244056</v>
      </c>
      <c r="ET30" s="1">
        <v>-335528</v>
      </c>
      <c r="EU30" s="1">
        <v>-286075</v>
      </c>
      <c r="EV30" s="18">
        <v>-275571</v>
      </c>
      <c r="EW30" s="1">
        <v>-257014</v>
      </c>
      <c r="EX30" s="1"/>
      <c r="EY30" s="1">
        <v>-378755</v>
      </c>
      <c r="EZ30" s="1"/>
      <c r="FA30" s="1">
        <v>-385576</v>
      </c>
      <c r="FB30" s="1">
        <v>-344955</v>
      </c>
      <c r="FC30" s="1">
        <v>-362706</v>
      </c>
      <c r="FD30" s="1"/>
      <c r="FE30" s="1">
        <v>-376837</v>
      </c>
      <c r="FF30" s="1"/>
      <c r="FG30" s="1"/>
      <c r="FH30" s="1"/>
      <c r="FI30" s="1">
        <v>-606304</v>
      </c>
      <c r="FJ30" s="1">
        <v>-168618</v>
      </c>
      <c r="FK30" s="2">
        <v>-284539</v>
      </c>
      <c r="FL30" s="1">
        <v>-451639</v>
      </c>
      <c r="FM30" s="1">
        <v>-274435</v>
      </c>
      <c r="FN30" s="1">
        <v>-703309</v>
      </c>
      <c r="FO30" s="1"/>
      <c r="FP30" s="1"/>
      <c r="FQ30" s="1"/>
      <c r="FR30" s="1">
        <v>-493925</v>
      </c>
      <c r="FS30" s="1"/>
      <c r="FT30" s="1">
        <v>-840674</v>
      </c>
      <c r="FU30" s="1">
        <v>-418204</v>
      </c>
      <c r="FV30" s="41"/>
      <c r="FW30" s="1">
        <v>-70248</v>
      </c>
      <c r="FX30" s="1">
        <v>-535582</v>
      </c>
      <c r="FY30" s="1"/>
      <c r="FZ30" s="1"/>
      <c r="GA30" s="1">
        <v>-678157</v>
      </c>
      <c r="GB30" s="1"/>
      <c r="GC30" s="1"/>
      <c r="GD30" s="1"/>
      <c r="GE30" s="1"/>
      <c r="GF30" s="1"/>
      <c r="GG30" s="1">
        <v>-775882</v>
      </c>
      <c r="GH30" s="1">
        <v>-228444</v>
      </c>
      <c r="GI30" s="1">
        <v>-521717</v>
      </c>
      <c r="GJ30" s="18">
        <v>-1272247</v>
      </c>
      <c r="GK30" s="1"/>
      <c r="GL30" s="1">
        <v>-568036</v>
      </c>
      <c r="GM30" s="1">
        <v>-339718</v>
      </c>
      <c r="GN30" s="1">
        <v>-682697</v>
      </c>
      <c r="GO30" s="1">
        <v>-1599147</v>
      </c>
      <c r="GP30" s="1"/>
    </row>
    <row r="31" spans="1:198" s="2" customFormat="1" ht="15">
      <c r="A31" s="2" t="s">
        <v>18</v>
      </c>
      <c r="B31" s="40"/>
      <c r="C31" s="4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41"/>
      <c r="AU31" s="1"/>
      <c r="AV31" s="1"/>
      <c r="AW31" s="1"/>
      <c r="AX31" s="1"/>
      <c r="AY31" s="1"/>
      <c r="AZ31" s="1"/>
      <c r="BA31" s="1"/>
      <c r="BB31" s="18"/>
      <c r="BC31" s="18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4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 t="s">
        <v>50</v>
      </c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8"/>
      <c r="EW31" s="1"/>
      <c r="EX31" s="1"/>
      <c r="EY31" s="1"/>
      <c r="EZ31" s="1"/>
      <c r="FA31" s="1"/>
      <c r="FB31" s="1"/>
      <c r="FD31" s="1"/>
      <c r="FE31" s="1"/>
      <c r="FF31" s="1"/>
      <c r="FG31" s="1"/>
      <c r="FH31" s="1"/>
      <c r="FI31" s="1"/>
      <c r="FJ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4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8"/>
      <c r="GK31" s="1"/>
      <c r="GL31" s="1"/>
      <c r="GN31" s="1">
        <v>-28802</v>
      </c>
      <c r="GO31" s="1"/>
      <c r="GP31" s="1"/>
    </row>
    <row r="32" spans="1:199" s="2" customFormat="1" ht="15">
      <c r="A32" s="2" t="s">
        <v>293</v>
      </c>
      <c r="B32" s="40"/>
      <c r="C32" s="40"/>
      <c r="D32" s="1"/>
      <c r="E32" s="1">
        <f>3759+63443</f>
        <v>67202</v>
      </c>
      <c r="F32" s="1">
        <f>10671+2173</f>
        <v>12844</v>
      </c>
      <c r="G32" s="1"/>
      <c r="H32" s="1"/>
      <c r="I32" s="1"/>
      <c r="J32" s="1"/>
      <c r="K32" s="1"/>
      <c r="L32" s="1">
        <v>2661</v>
      </c>
      <c r="M32" s="1"/>
      <c r="N32" s="1">
        <v>33856</v>
      </c>
      <c r="O32" s="1"/>
      <c r="P32" s="1"/>
      <c r="Q32" s="1"/>
      <c r="R32" s="1"/>
      <c r="S32" s="1"/>
      <c r="T32" s="1"/>
      <c r="V32" s="1">
        <v>40700</v>
      </c>
      <c r="W32" s="1"/>
      <c r="X32" s="1">
        <v>56800</v>
      </c>
      <c r="Y32" s="1">
        <v>37961</v>
      </c>
      <c r="Z32" s="1"/>
      <c r="AA32" s="1">
        <f>14083-14083</f>
        <v>0</v>
      </c>
      <c r="AB32" s="1"/>
      <c r="AC32" s="1">
        <v>90276</v>
      </c>
      <c r="AD32" s="1"/>
      <c r="AE32" s="1">
        <f>36754+25846</f>
        <v>62600</v>
      </c>
      <c r="AF32" s="1">
        <v>80000</v>
      </c>
      <c r="AG32" s="1"/>
      <c r="AH32" s="1">
        <f>61965+30982</f>
        <v>92947</v>
      </c>
      <c r="AI32" s="1">
        <f>15929+49470</f>
        <v>65399</v>
      </c>
      <c r="AJ32" s="1"/>
      <c r="AK32" s="1"/>
      <c r="AL32" s="1">
        <f>35398+18751</f>
        <v>54149</v>
      </c>
      <c r="AM32" s="1">
        <f>56653+7027</f>
        <v>63680</v>
      </c>
      <c r="AN32" s="1">
        <f>99193+47535</f>
        <v>146728</v>
      </c>
      <c r="AO32" s="1">
        <v>16657</v>
      </c>
      <c r="AP32" s="1">
        <v>325000</v>
      </c>
      <c r="AQ32" s="1">
        <v>204364</v>
      </c>
      <c r="AR32" s="1"/>
      <c r="AS32" s="1">
        <v>262398</v>
      </c>
      <c r="AT32" s="41">
        <v>195319</v>
      </c>
      <c r="AU32" s="1">
        <v>95813</v>
      </c>
      <c r="AV32" s="1"/>
      <c r="AW32" s="1">
        <f>72450+50832</f>
        <v>123282</v>
      </c>
      <c r="AX32" s="1">
        <f>79357+20417</f>
        <v>99774</v>
      </c>
      <c r="AY32" s="1">
        <v>99000</v>
      </c>
      <c r="AZ32" s="1">
        <v>156181</v>
      </c>
      <c r="BA32" s="1">
        <v>265538</v>
      </c>
      <c r="BB32" s="18"/>
      <c r="BC32" s="18">
        <f>38858+26709+10070</f>
        <v>75637</v>
      </c>
      <c r="BD32" s="1">
        <v>343350</v>
      </c>
      <c r="BE32" s="1">
        <v>215542</v>
      </c>
      <c r="BF32" s="1">
        <v>170000</v>
      </c>
      <c r="BG32" s="1">
        <v>82500</v>
      </c>
      <c r="BH32" s="1">
        <v>80452</v>
      </c>
      <c r="BI32" s="2">
        <v>207956</v>
      </c>
      <c r="BJ32" s="1">
        <f>103841+12746</f>
        <v>116587</v>
      </c>
      <c r="BK32" s="1"/>
      <c r="BL32" s="1">
        <v>74250</v>
      </c>
      <c r="BM32" s="1">
        <v>161477</v>
      </c>
      <c r="BN32" s="1"/>
      <c r="BO32" s="1"/>
      <c r="BP32" s="1">
        <v>79489</v>
      </c>
      <c r="BQ32" s="1">
        <v>165600</v>
      </c>
      <c r="BR32" s="1">
        <f>36013+10664</f>
        <v>46677</v>
      </c>
      <c r="BS32" s="1">
        <v>208950</v>
      </c>
      <c r="BT32" s="1">
        <v>80000</v>
      </c>
      <c r="BU32" s="1">
        <v>84375</v>
      </c>
      <c r="BV32" s="1"/>
      <c r="BW32" s="1">
        <v>167689</v>
      </c>
      <c r="BX32" s="1">
        <f>27850+22409+123853</f>
        <v>174112</v>
      </c>
      <c r="BY32" s="1">
        <v>203690</v>
      </c>
      <c r="BZ32" s="1">
        <f>49455+58640</f>
        <v>108095</v>
      </c>
      <c r="CA32" s="1">
        <v>88717</v>
      </c>
      <c r="CB32" s="1">
        <v>118321</v>
      </c>
      <c r="CC32" s="1"/>
      <c r="CD32" s="1">
        <f>38521+88446</f>
        <v>126967</v>
      </c>
      <c r="CE32" s="1"/>
      <c r="CF32" s="1">
        <f>29865+59793</f>
        <v>89658</v>
      </c>
      <c r="CG32" s="1"/>
      <c r="CH32" s="1">
        <v>108500</v>
      </c>
      <c r="CI32" s="1">
        <v>182500</v>
      </c>
      <c r="CJ32" s="1">
        <v>68250</v>
      </c>
      <c r="CK32" s="1"/>
      <c r="CL32" s="1">
        <v>83647</v>
      </c>
      <c r="CM32" s="1">
        <f>147725+41161</f>
        <v>188886</v>
      </c>
      <c r="CN32" s="1">
        <v>57043</v>
      </c>
      <c r="CO32" s="1">
        <v>146200</v>
      </c>
      <c r="CP32" s="1">
        <v>511937</v>
      </c>
      <c r="CQ32" s="1">
        <v>91129</v>
      </c>
      <c r="CR32" s="1">
        <v>108000</v>
      </c>
      <c r="CS32" s="1">
        <f>209113+82296</f>
        <v>291409</v>
      </c>
      <c r="CT32" s="1">
        <v>143612</v>
      </c>
      <c r="CU32" s="1">
        <v>90750</v>
      </c>
      <c r="CV32" s="1">
        <v>199221</v>
      </c>
      <c r="CW32" s="1">
        <v>203150</v>
      </c>
      <c r="CX32" s="41">
        <f>197023+95551</f>
        <v>292574</v>
      </c>
      <c r="CY32" s="1">
        <f>47142+26363</f>
        <v>73505</v>
      </c>
      <c r="CZ32" s="1">
        <f>180744+71958</f>
        <v>252702</v>
      </c>
      <c r="DA32" s="1">
        <v>178921</v>
      </c>
      <c r="DB32" s="1"/>
      <c r="DC32" s="1"/>
      <c r="DD32" s="1">
        <v>170052</v>
      </c>
      <c r="DE32" s="1"/>
      <c r="DF32" s="1">
        <v>108502</v>
      </c>
      <c r="DG32" s="1">
        <v>195173</v>
      </c>
      <c r="DH32" s="1">
        <f>16518+30425</f>
        <v>46943</v>
      </c>
      <c r="DI32" s="1">
        <v>127750</v>
      </c>
      <c r="DJ32" s="1"/>
      <c r="DK32" s="1"/>
      <c r="DL32" s="1">
        <v>392578</v>
      </c>
      <c r="DM32" s="1">
        <f>186073+148367</f>
        <v>334440</v>
      </c>
      <c r="DN32" s="1"/>
      <c r="DO32" s="1"/>
      <c r="DP32" s="1">
        <v>120693</v>
      </c>
      <c r="DQ32" s="1">
        <v>197100</v>
      </c>
      <c r="DR32" s="1">
        <v>234062</v>
      </c>
      <c r="DS32" s="1">
        <v>371900</v>
      </c>
      <c r="DT32" s="1">
        <f>11624+19118</f>
        <v>30742</v>
      </c>
      <c r="DU32" s="1"/>
      <c r="DV32" s="1"/>
      <c r="DW32" s="1">
        <f>256892+38521</f>
        <v>295413</v>
      </c>
      <c r="DX32" s="1"/>
      <c r="DY32" s="1">
        <v>171094</v>
      </c>
      <c r="DZ32" s="1"/>
      <c r="EA32" s="1">
        <v>153460</v>
      </c>
      <c r="EB32" s="1">
        <v>140160</v>
      </c>
      <c r="EC32" s="1">
        <v>245300</v>
      </c>
      <c r="ED32" s="1"/>
      <c r="EE32" s="1">
        <f>275276+111542</f>
        <v>386818</v>
      </c>
      <c r="EF32" s="1">
        <f>445227+218507</f>
        <v>663734</v>
      </c>
      <c r="EG32" s="1">
        <v>164657</v>
      </c>
      <c r="EH32" s="1">
        <v>410405</v>
      </c>
      <c r="EI32" s="1">
        <v>486515</v>
      </c>
      <c r="EJ32" s="1">
        <v>160002</v>
      </c>
      <c r="EK32" s="1">
        <v>1678077</v>
      </c>
      <c r="EL32" s="1">
        <f>12275+4015+15926+18828</f>
        <v>51044</v>
      </c>
      <c r="EM32" s="1">
        <v>411685</v>
      </c>
      <c r="EN32" s="1">
        <f>77471+36294</f>
        <v>113765</v>
      </c>
      <c r="EO32" s="1"/>
      <c r="EP32" s="1">
        <v>262500</v>
      </c>
      <c r="EQ32" s="1"/>
      <c r="ER32" s="1">
        <f>12762+9836</f>
        <v>22598</v>
      </c>
      <c r="ES32" s="1">
        <v>2592013</v>
      </c>
      <c r="ET32" s="1">
        <v>539795</v>
      </c>
      <c r="EU32" s="1">
        <v>279453</v>
      </c>
      <c r="EV32" s="18">
        <v>244644</v>
      </c>
      <c r="EW32" s="1">
        <f>4418+21874</f>
        <v>26292</v>
      </c>
      <c r="EX32" s="1"/>
      <c r="EY32" s="1">
        <f>296171+167064</f>
        <v>463235</v>
      </c>
      <c r="EZ32" s="1">
        <f>37051+13177</f>
        <v>50228</v>
      </c>
      <c r="FA32" s="1">
        <v>332421</v>
      </c>
      <c r="FB32" s="1">
        <v>646723</v>
      </c>
      <c r="FC32" s="1">
        <f>130702+65251</f>
        <v>195953</v>
      </c>
      <c r="FD32" s="1"/>
      <c r="FE32" s="1">
        <v>821230</v>
      </c>
      <c r="FF32" s="1"/>
      <c r="FG32" s="1"/>
      <c r="FH32" s="1"/>
      <c r="FI32" s="1"/>
      <c r="FJ32" s="1">
        <v>267193</v>
      </c>
      <c r="FK32" s="2">
        <f>415319+241455</f>
        <v>656774</v>
      </c>
      <c r="FL32" s="1">
        <v>2147528</v>
      </c>
      <c r="FM32" s="1"/>
      <c r="FN32" s="1"/>
      <c r="FO32" s="1">
        <f>40773+31961</f>
        <v>72734</v>
      </c>
      <c r="FP32" s="1"/>
      <c r="FQ32" s="1" t="s">
        <v>50</v>
      </c>
      <c r="FR32" s="1">
        <f>295372+249483</f>
        <v>544855</v>
      </c>
      <c r="FS32" s="1"/>
      <c r="FT32" s="1">
        <v>546000</v>
      </c>
      <c r="FU32" s="1">
        <f>153420+50338</f>
        <v>203758</v>
      </c>
      <c r="FV32" s="41"/>
      <c r="FW32" s="1"/>
      <c r="FX32" s="1">
        <v>832167</v>
      </c>
      <c r="FY32" s="1">
        <f>1057+2496+11489+10221</f>
        <v>25263</v>
      </c>
      <c r="FZ32" s="1"/>
      <c r="GA32" s="1">
        <f>1263384+537050</f>
        <v>1800434</v>
      </c>
      <c r="GB32" s="1">
        <f>53361+22592</f>
        <v>75953</v>
      </c>
      <c r="GC32" s="1">
        <f>75809+170094</f>
        <v>245903</v>
      </c>
      <c r="GD32" s="1"/>
      <c r="GE32" s="1"/>
      <c r="GF32" s="1"/>
      <c r="GG32" s="1">
        <v>843750</v>
      </c>
      <c r="GH32" s="1">
        <v>484062</v>
      </c>
      <c r="GI32" s="1">
        <v>1017399</v>
      </c>
      <c r="GJ32" s="18">
        <v>843750</v>
      </c>
      <c r="GK32" s="1">
        <f>39364+31827+24162+2021</f>
        <v>97374</v>
      </c>
      <c r="GL32" s="1"/>
      <c r="GM32" s="1">
        <f>571324+657678</f>
        <v>1229002</v>
      </c>
      <c r="GN32" s="1">
        <v>1761619</v>
      </c>
      <c r="GO32" s="1">
        <v>1918500</v>
      </c>
      <c r="GP32" s="1"/>
      <c r="GQ32" s="1"/>
    </row>
    <row r="33" spans="1:199" s="2" customFormat="1" ht="15">
      <c r="A33" s="2" t="s">
        <v>19</v>
      </c>
      <c r="B33" s="40">
        <v>6100</v>
      </c>
      <c r="C33" s="40">
        <v>12100</v>
      </c>
      <c r="D33" s="1">
        <v>21084</v>
      </c>
      <c r="E33" s="1">
        <v>0</v>
      </c>
      <c r="F33" s="1"/>
      <c r="G33" s="1">
        <v>26700</v>
      </c>
      <c r="H33" s="1">
        <v>6262</v>
      </c>
      <c r="I33" s="1">
        <f>333302+14200</f>
        <v>347502</v>
      </c>
      <c r="J33" s="1">
        <f>358218+5000+5000</f>
        <v>368218</v>
      </c>
      <c r="K33" s="1">
        <v>249939</v>
      </c>
      <c r="L33" s="1">
        <v>566765</v>
      </c>
      <c r="M33" s="1">
        <v>46397</v>
      </c>
      <c r="N33" s="1">
        <v>23816</v>
      </c>
      <c r="O33" s="1">
        <v>260741</v>
      </c>
      <c r="P33" s="1">
        <v>10840</v>
      </c>
      <c r="Q33" s="1">
        <v>264750</v>
      </c>
      <c r="R33" s="1">
        <f>377148+780</f>
        <v>377928</v>
      </c>
      <c r="S33" s="1">
        <v>62045</v>
      </c>
      <c r="T33" s="1">
        <v>18950</v>
      </c>
      <c r="U33" s="1">
        <f>19642+4000</f>
        <v>23642</v>
      </c>
      <c r="V33" s="1">
        <v>563723</v>
      </c>
      <c r="W33" s="1">
        <v>69403</v>
      </c>
      <c r="X33" s="1">
        <v>77587</v>
      </c>
      <c r="Y33" s="1">
        <v>69681</v>
      </c>
      <c r="Z33" s="1">
        <v>348224</v>
      </c>
      <c r="AA33" s="1">
        <f>18110+1250</f>
        <v>19360</v>
      </c>
      <c r="AB33" s="1">
        <v>394210</v>
      </c>
      <c r="AC33" s="1">
        <v>699159</v>
      </c>
      <c r="AD33" s="1">
        <v>442458</v>
      </c>
      <c r="AE33" s="1"/>
      <c r="AF33" s="1">
        <f>270701+92614</f>
        <v>363315</v>
      </c>
      <c r="AG33" s="1">
        <v>666661</v>
      </c>
      <c r="AH33" s="1">
        <f>338592+93724</f>
        <v>432316</v>
      </c>
      <c r="AI33" s="1">
        <v>682273</v>
      </c>
      <c r="AJ33" s="1">
        <v>533088</v>
      </c>
      <c r="AK33" s="1">
        <f>533104+3500</f>
        <v>536604</v>
      </c>
      <c r="AL33" s="1">
        <f>317831+5950</f>
        <v>323781</v>
      </c>
      <c r="AM33" s="1">
        <v>371456</v>
      </c>
      <c r="AN33" s="1">
        <v>133329</v>
      </c>
      <c r="AO33" s="1">
        <v>366770</v>
      </c>
      <c r="AP33" s="1">
        <v>1639459</v>
      </c>
      <c r="AQ33" s="1">
        <v>432205</v>
      </c>
      <c r="AR33" s="1">
        <v>162754</v>
      </c>
      <c r="AS33" s="1">
        <v>640208</v>
      </c>
      <c r="AT33" s="41">
        <f>91247</f>
        <v>91247</v>
      </c>
      <c r="AU33" s="1">
        <v>335317</v>
      </c>
      <c r="AV33" s="1">
        <v>70587</v>
      </c>
      <c r="AW33" s="1">
        <v>491972</v>
      </c>
      <c r="AX33" s="1">
        <f>12976+1500</f>
        <v>14476</v>
      </c>
      <c r="AY33" s="1">
        <v>203822</v>
      </c>
      <c r="AZ33" s="1">
        <v>637230</v>
      </c>
      <c r="BA33" s="1">
        <v>1312465</v>
      </c>
      <c r="BB33" s="18">
        <v>459887</v>
      </c>
      <c r="BC33" s="18">
        <v>46921</v>
      </c>
      <c r="BD33" s="1">
        <v>70692</v>
      </c>
      <c r="BE33" s="1">
        <v>100587</v>
      </c>
      <c r="BF33" s="1">
        <v>65694</v>
      </c>
      <c r="BG33" s="1">
        <v>105947</v>
      </c>
      <c r="BH33" s="1">
        <v>650488</v>
      </c>
      <c r="BI33" s="2">
        <v>619340</v>
      </c>
      <c r="BJ33" s="1">
        <v>1092550</v>
      </c>
      <c r="BK33" s="1">
        <v>812281</v>
      </c>
      <c r="BL33" s="1">
        <v>904437</v>
      </c>
      <c r="BM33" s="1">
        <v>47292</v>
      </c>
      <c r="BN33" s="1">
        <v>601102</v>
      </c>
      <c r="BO33" s="1">
        <v>393610</v>
      </c>
      <c r="BP33" s="1">
        <f>565805+113140</f>
        <v>678945</v>
      </c>
      <c r="BQ33" s="1">
        <v>704844</v>
      </c>
      <c r="BR33" s="1">
        <v>417845</v>
      </c>
      <c r="BS33" s="1">
        <v>868057</v>
      </c>
      <c r="BT33" s="1">
        <f>183221-31927</f>
        <v>151294</v>
      </c>
      <c r="BU33" s="1">
        <v>398649</v>
      </c>
      <c r="BV33" s="1">
        <v>438439</v>
      </c>
      <c r="BW33" s="1">
        <v>470623</v>
      </c>
      <c r="BX33" s="1">
        <v>723554</v>
      </c>
      <c r="BY33" s="1">
        <v>860679</v>
      </c>
      <c r="BZ33" s="1">
        <v>542294</v>
      </c>
      <c r="CA33" s="1">
        <v>508920</v>
      </c>
      <c r="CB33" s="1">
        <v>1229026</v>
      </c>
      <c r="CC33" s="1">
        <v>517088</v>
      </c>
      <c r="CD33" s="1">
        <f>309111+33000</f>
        <v>342111</v>
      </c>
      <c r="CE33" s="1">
        <v>577000</v>
      </c>
      <c r="CF33" s="1">
        <v>879020</v>
      </c>
      <c r="CG33" s="1">
        <v>162804</v>
      </c>
      <c r="CH33" s="1">
        <v>120181</v>
      </c>
      <c r="CI33" s="1">
        <v>974103</v>
      </c>
      <c r="CJ33" s="1">
        <v>431482</v>
      </c>
      <c r="CK33" s="1">
        <v>285138</v>
      </c>
      <c r="CL33" s="1">
        <f>66504+2357</f>
        <v>68861</v>
      </c>
      <c r="CM33" s="1">
        <v>392049</v>
      </c>
      <c r="CN33" s="1">
        <v>434734</v>
      </c>
      <c r="CO33" s="1">
        <v>945694</v>
      </c>
      <c r="CP33" s="1">
        <v>1241548</v>
      </c>
      <c r="CQ33" s="1">
        <v>465581</v>
      </c>
      <c r="CR33" s="1">
        <v>962694</v>
      </c>
      <c r="CS33" s="1">
        <v>405280</v>
      </c>
      <c r="CT33" s="1">
        <v>378255</v>
      </c>
      <c r="CU33" s="1">
        <v>410634</v>
      </c>
      <c r="CV33" s="1">
        <v>421463</v>
      </c>
      <c r="CW33" s="1">
        <v>275517</v>
      </c>
      <c r="CX33" s="41">
        <v>104280</v>
      </c>
      <c r="CY33" s="1">
        <v>891312</v>
      </c>
      <c r="CZ33" s="1">
        <v>809858</v>
      </c>
      <c r="DA33" s="1">
        <v>1030757</v>
      </c>
      <c r="DB33" s="1">
        <v>404172</v>
      </c>
      <c r="DC33" s="1">
        <v>346858</v>
      </c>
      <c r="DD33" s="1">
        <v>1058882</v>
      </c>
      <c r="DE33" s="1">
        <v>599705</v>
      </c>
      <c r="DF33" s="1">
        <v>324711</v>
      </c>
      <c r="DG33" s="1">
        <v>664252</v>
      </c>
      <c r="DH33" s="1">
        <f>204668+96800+613926+138455+4379+55150</f>
        <v>1113378</v>
      </c>
      <c r="DI33" s="1">
        <v>704312</v>
      </c>
      <c r="DJ33" s="1">
        <v>1147863</v>
      </c>
      <c r="DK33" s="1">
        <v>542853</v>
      </c>
      <c r="DL33" s="1">
        <v>1242592</v>
      </c>
      <c r="DM33" s="1">
        <v>598960</v>
      </c>
      <c r="DN33" s="1">
        <v>439347</v>
      </c>
      <c r="DO33" s="1">
        <v>833023</v>
      </c>
      <c r="DP33" s="1">
        <v>660642</v>
      </c>
      <c r="DQ33" s="1">
        <v>688008</v>
      </c>
      <c r="DR33" s="1">
        <v>452796</v>
      </c>
      <c r="DS33" s="1">
        <v>625669</v>
      </c>
      <c r="DT33" s="1">
        <v>506785</v>
      </c>
      <c r="DU33" s="1">
        <v>726530</v>
      </c>
      <c r="DV33" s="1">
        <f>660648-6462-3191</f>
        <v>650995</v>
      </c>
      <c r="DW33" s="1">
        <v>637732</v>
      </c>
      <c r="DX33" s="1">
        <v>869751</v>
      </c>
      <c r="DY33" s="1">
        <v>191480</v>
      </c>
      <c r="DZ33" s="1">
        <v>482331</v>
      </c>
      <c r="EA33" s="1">
        <v>476592</v>
      </c>
      <c r="EB33" s="1">
        <v>457932</v>
      </c>
      <c r="EC33" s="1">
        <v>228780</v>
      </c>
      <c r="ED33" s="1">
        <v>573115</v>
      </c>
      <c r="EE33" s="1">
        <v>393114</v>
      </c>
      <c r="EF33" s="1">
        <f>350029+79556</f>
        <v>429585</v>
      </c>
      <c r="EG33" s="1">
        <v>397739</v>
      </c>
      <c r="EH33" s="1">
        <v>591384</v>
      </c>
      <c r="EI33" s="1">
        <v>608740</v>
      </c>
      <c r="EJ33" s="1">
        <v>280731</v>
      </c>
      <c r="EK33" s="1">
        <v>2159936</v>
      </c>
      <c r="EL33" s="1">
        <v>610405</v>
      </c>
      <c r="EM33" s="1">
        <v>591540</v>
      </c>
      <c r="EN33" s="1">
        <v>579874</v>
      </c>
      <c r="EO33" s="1">
        <v>499968</v>
      </c>
      <c r="EP33" s="1">
        <v>890749</v>
      </c>
      <c r="EQ33" s="1">
        <v>434952</v>
      </c>
      <c r="ER33" s="1">
        <v>567461</v>
      </c>
      <c r="ES33" s="1">
        <v>475686</v>
      </c>
      <c r="ET33" s="1">
        <v>635941</v>
      </c>
      <c r="EU33" s="1">
        <v>531614</v>
      </c>
      <c r="EV33" s="18">
        <v>551199</v>
      </c>
      <c r="EW33" s="1">
        <v>529436</v>
      </c>
      <c r="EX33" s="1">
        <v>927967</v>
      </c>
      <c r="EY33" s="1">
        <v>826790</v>
      </c>
      <c r="EZ33" s="1">
        <v>965374</v>
      </c>
      <c r="FA33" s="1">
        <v>665897</v>
      </c>
      <c r="FB33" s="1">
        <v>703976</v>
      </c>
      <c r="FC33" s="1">
        <v>575116</v>
      </c>
      <c r="FD33" s="1">
        <v>1153960</v>
      </c>
      <c r="FE33" s="1">
        <v>630081</v>
      </c>
      <c r="FF33" s="1">
        <v>1095903</v>
      </c>
      <c r="FG33" s="1">
        <v>1088175</v>
      </c>
      <c r="FH33" s="1">
        <v>1616141</v>
      </c>
      <c r="FI33" s="1">
        <v>1045398</v>
      </c>
      <c r="FJ33" s="1">
        <v>321266</v>
      </c>
      <c r="FK33" s="2">
        <f>599077+150+110283</f>
        <v>709510</v>
      </c>
      <c r="FL33" s="1">
        <v>752314</v>
      </c>
      <c r="FM33" s="1">
        <v>742478</v>
      </c>
      <c r="FN33" s="1">
        <f>1543150-20</f>
        <v>1543130</v>
      </c>
      <c r="FO33" s="1">
        <v>1247444</v>
      </c>
      <c r="FP33" s="1">
        <f>673551+122</f>
        <v>673673</v>
      </c>
      <c r="FQ33" s="1">
        <v>883785</v>
      </c>
      <c r="FR33" s="1">
        <v>692837</v>
      </c>
      <c r="FS33" s="1">
        <v>2112906</v>
      </c>
      <c r="FT33" s="1">
        <v>1384862</v>
      </c>
      <c r="FU33" s="1">
        <v>289682</v>
      </c>
      <c r="FV33" s="41">
        <v>1253191</v>
      </c>
      <c r="FW33" s="1">
        <v>857258</v>
      </c>
      <c r="FX33" s="1">
        <f>1900890+25000+103212-121500</f>
        <v>1907602</v>
      </c>
      <c r="FY33" s="1">
        <v>904075</v>
      </c>
      <c r="FZ33" s="1">
        <v>2267133</v>
      </c>
      <c r="GA33" s="1">
        <f>1728818+120000+2200</f>
        <v>1851018</v>
      </c>
      <c r="GB33" s="1">
        <f>1596130+33333</f>
        <v>1629463</v>
      </c>
      <c r="GC33" s="1">
        <v>2435230</v>
      </c>
      <c r="GD33" s="1">
        <v>3610730</v>
      </c>
      <c r="GE33" s="2">
        <v>1537212</v>
      </c>
      <c r="GF33" s="2">
        <v>897125</v>
      </c>
      <c r="GG33" s="1">
        <v>2535962</v>
      </c>
      <c r="GH33" s="1">
        <v>1199469</v>
      </c>
      <c r="GI33" s="1">
        <v>1449036</v>
      </c>
      <c r="GJ33" s="18">
        <v>1610800</v>
      </c>
      <c r="GK33" s="1">
        <f>2895487+81600+265643</f>
        <v>3242730</v>
      </c>
      <c r="GL33" s="1">
        <v>1576906</v>
      </c>
      <c r="GM33" s="1">
        <f>684890+45750</f>
        <v>730640</v>
      </c>
      <c r="GN33" s="1">
        <v>1460148</v>
      </c>
      <c r="GO33" s="1">
        <v>3106277</v>
      </c>
      <c r="GP33" s="1">
        <v>1698942</v>
      </c>
      <c r="GQ33" s="1"/>
    </row>
    <row r="34" spans="1:199" s="2" customFormat="1" ht="15">
      <c r="A34" s="2" t="s">
        <v>20</v>
      </c>
      <c r="B34" s="40"/>
      <c r="C34" s="40"/>
      <c r="D34" s="1">
        <f>1290+274+126</f>
        <v>1690</v>
      </c>
      <c r="E34" s="1"/>
      <c r="F34" s="1"/>
      <c r="G34" s="1"/>
      <c r="H34" s="1"/>
      <c r="I34" s="1">
        <f>24786+786+401+108</f>
        <v>26081</v>
      </c>
      <c r="J34" s="1">
        <f>27567+5701+641</f>
        <v>33909</v>
      </c>
      <c r="K34" s="1">
        <v>20408</v>
      </c>
      <c r="L34" s="1">
        <f>42446+1607+504</f>
        <v>44557</v>
      </c>
      <c r="M34" s="1">
        <f>3542+84+327</f>
        <v>3953</v>
      </c>
      <c r="N34" s="1"/>
      <c r="O34" s="1">
        <v>24914</v>
      </c>
      <c r="P34" s="1"/>
      <c r="Q34" s="1">
        <v>23566</v>
      </c>
      <c r="R34" s="1">
        <f>28002+1112+252</f>
        <v>29366</v>
      </c>
      <c r="S34" s="1">
        <v>5810</v>
      </c>
      <c r="T34" s="1"/>
      <c r="U34" s="1">
        <f>1492+160</f>
        <v>1652</v>
      </c>
      <c r="V34" s="1">
        <f>42454+1629+519</f>
        <v>44602</v>
      </c>
      <c r="W34" s="1">
        <v>5327</v>
      </c>
      <c r="X34" s="1">
        <f>5894+176+58+149</f>
        <v>6277</v>
      </c>
      <c r="Y34" s="1">
        <v>5912</v>
      </c>
      <c r="Z34" s="1">
        <v>26639</v>
      </c>
      <c r="AA34" s="1">
        <f>1385+436+42</f>
        <v>1863</v>
      </c>
      <c r="AB34" s="1">
        <v>22227</v>
      </c>
      <c r="AC34" s="1">
        <v>55005</v>
      </c>
      <c r="AD34" s="1">
        <f>32922+1041+317</f>
        <v>34280</v>
      </c>
      <c r="AE34" s="1"/>
      <c r="AF34" s="1">
        <v>30572</v>
      </c>
      <c r="AG34" s="1">
        <v>56139</v>
      </c>
      <c r="AH34" s="1">
        <f>26098+2954+400+660+59+150+7141+992+42+206+10</f>
        <v>38712</v>
      </c>
      <c r="AI34" s="1">
        <v>52332</v>
      </c>
      <c r="AJ34" s="1">
        <v>42523</v>
      </c>
      <c r="AK34" s="1">
        <v>42278</v>
      </c>
      <c r="AL34" s="1">
        <f>25335+1046+317</f>
        <v>26698</v>
      </c>
      <c r="AM34" s="1">
        <v>29024</v>
      </c>
      <c r="AN34" s="1">
        <v>10614</v>
      </c>
      <c r="AO34" s="1">
        <v>33890</v>
      </c>
      <c r="AP34" s="1">
        <v>142255</v>
      </c>
      <c r="AQ34" s="1">
        <f>32986+1428+425</f>
        <v>34839</v>
      </c>
      <c r="AR34" s="1">
        <v>12030</v>
      </c>
      <c r="AS34" s="1">
        <v>51306</v>
      </c>
      <c r="AT34" s="41">
        <f>5691</f>
        <v>5691</v>
      </c>
      <c r="AU34" s="1">
        <v>27521</v>
      </c>
      <c r="AV34" s="1">
        <v>5870</v>
      </c>
      <c r="AW34" s="1">
        <v>38919</v>
      </c>
      <c r="AX34" s="1">
        <f>936+168+42</f>
        <v>1146</v>
      </c>
      <c r="AY34" s="1">
        <f>15805+850+252+162</f>
        <v>17069</v>
      </c>
      <c r="AZ34" s="1">
        <v>51005</v>
      </c>
      <c r="BA34" s="1">
        <v>104503</v>
      </c>
      <c r="BB34" s="18">
        <f>28249+6720+4016+409</f>
        <v>39394</v>
      </c>
      <c r="BC34" s="18">
        <v>4515</v>
      </c>
      <c r="BD34" s="1">
        <f>5242+153+431-30</f>
        <v>5796</v>
      </c>
      <c r="BE34" s="1">
        <v>7837</v>
      </c>
      <c r="BF34" s="1"/>
      <c r="BG34" s="1">
        <f>8061+367+122</f>
        <v>8550</v>
      </c>
      <c r="BH34" s="1">
        <v>58137</v>
      </c>
      <c r="BI34" s="2">
        <f>45432+1308+487</f>
        <v>47227</v>
      </c>
      <c r="BJ34" s="1">
        <v>86223</v>
      </c>
      <c r="BK34" s="1">
        <v>64544</v>
      </c>
      <c r="BL34" s="1">
        <v>68182</v>
      </c>
      <c r="BM34" s="1">
        <f>3971+30</f>
        <v>4001</v>
      </c>
      <c r="BN34" s="1">
        <v>50266</v>
      </c>
      <c r="BO34" s="1">
        <v>30825</v>
      </c>
      <c r="BP34" s="1">
        <f>45163+8839</f>
        <v>54002</v>
      </c>
      <c r="BQ34" s="1">
        <v>65763</v>
      </c>
      <c r="BR34" s="1">
        <v>40437</v>
      </c>
      <c r="BS34" s="1">
        <v>69821</v>
      </c>
      <c r="BT34" s="1">
        <v>14402</v>
      </c>
      <c r="BU34" s="1">
        <f>31129+3374+461</f>
        <v>34964</v>
      </c>
      <c r="BV34" s="1">
        <v>35302</v>
      </c>
      <c r="BW34" s="1">
        <v>45837</v>
      </c>
      <c r="BX34" s="1">
        <v>61089</v>
      </c>
      <c r="BY34" s="1">
        <v>67244</v>
      </c>
      <c r="BZ34" s="1">
        <v>44099</v>
      </c>
      <c r="CA34" s="1">
        <v>40730</v>
      </c>
      <c r="CB34" s="1">
        <v>96366</v>
      </c>
      <c r="CC34" s="1">
        <v>43841</v>
      </c>
      <c r="CD34" s="1">
        <f>23870+3934+349</f>
        <v>28153</v>
      </c>
      <c r="CE34" s="1">
        <v>46375</v>
      </c>
      <c r="CF34" s="2">
        <v>69115</v>
      </c>
      <c r="CG34" s="2">
        <f>12399+568+168+423</f>
        <v>13558</v>
      </c>
      <c r="CH34" s="1">
        <f>129752-120181</f>
        <v>9571</v>
      </c>
      <c r="CI34" s="1">
        <v>78377</v>
      </c>
      <c r="CJ34" s="1">
        <v>34271</v>
      </c>
      <c r="CK34" s="1">
        <f>21842+567+168</f>
        <v>22577</v>
      </c>
      <c r="CL34" s="1">
        <v>5312</v>
      </c>
      <c r="CM34" s="1">
        <v>32044</v>
      </c>
      <c r="CN34" s="1">
        <v>34387</v>
      </c>
      <c r="CO34" s="1">
        <v>74752</v>
      </c>
      <c r="CP34" s="1">
        <v>94774</v>
      </c>
      <c r="CQ34" s="1">
        <v>37094</v>
      </c>
      <c r="CR34" s="1">
        <f>67991+3721+800</f>
        <v>72512</v>
      </c>
      <c r="CS34" s="1">
        <v>33392</v>
      </c>
      <c r="CT34" s="1">
        <v>30799</v>
      </c>
      <c r="CU34" s="1">
        <v>32517</v>
      </c>
      <c r="CV34" s="1">
        <v>36830</v>
      </c>
      <c r="CW34" s="1">
        <v>23654</v>
      </c>
      <c r="CX34" s="41">
        <v>9883</v>
      </c>
      <c r="CY34" s="1">
        <f>64023+10402+672</f>
        <v>75097</v>
      </c>
      <c r="CZ34" s="1">
        <f>62386+4447+952</f>
        <v>67785</v>
      </c>
      <c r="DA34" s="1">
        <v>84355</v>
      </c>
      <c r="DB34" s="1">
        <f>31426+2588+398</f>
        <v>34412</v>
      </c>
      <c r="DC34" s="1">
        <v>28283</v>
      </c>
      <c r="DD34" s="1">
        <v>87680</v>
      </c>
      <c r="DE34" s="1">
        <v>48533</v>
      </c>
      <c r="DF34" s="1">
        <f>24704+2878+300+4261</f>
        <v>32143</v>
      </c>
      <c r="DG34" s="1">
        <v>50757</v>
      </c>
      <c r="DH34" s="1">
        <v>96790</v>
      </c>
      <c r="DI34" s="1">
        <v>60980</v>
      </c>
      <c r="DJ34" s="1">
        <v>93884</v>
      </c>
      <c r="DK34" s="1">
        <f>42125+549+2751+180</f>
        <v>45605</v>
      </c>
      <c r="DL34" s="1">
        <f>92676+3284+979</f>
        <v>96939</v>
      </c>
      <c r="DM34" s="1">
        <v>47800</v>
      </c>
      <c r="DN34" s="1">
        <v>37010</v>
      </c>
      <c r="DO34" s="1">
        <v>65500</v>
      </c>
      <c r="DP34" s="1">
        <v>56102</v>
      </c>
      <c r="DQ34" s="1">
        <f>744628-688008</f>
        <v>56620</v>
      </c>
      <c r="DR34" s="1">
        <v>38551</v>
      </c>
      <c r="DS34" s="1">
        <v>48841</v>
      </c>
      <c r="DT34" s="1">
        <v>38939</v>
      </c>
      <c r="DU34" s="1">
        <f>55175+2880+640</f>
        <v>58695</v>
      </c>
      <c r="DV34" s="1">
        <v>6462</v>
      </c>
      <c r="DW34" s="1">
        <v>53523</v>
      </c>
      <c r="DX34" s="1">
        <v>68877</v>
      </c>
      <c r="DY34" s="1">
        <v>14750</v>
      </c>
      <c r="DZ34" s="1">
        <v>37938</v>
      </c>
      <c r="EA34" s="1">
        <v>38901</v>
      </c>
      <c r="EB34" s="1">
        <v>39526</v>
      </c>
      <c r="EC34" s="1">
        <f>17011+2859+347-111</f>
        <v>20106</v>
      </c>
      <c r="ED34" s="1">
        <v>44452</v>
      </c>
      <c r="EE34" s="1">
        <v>37544</v>
      </c>
      <c r="EF34" s="1">
        <v>7512</v>
      </c>
      <c r="EG34" s="2">
        <f>30203+605+294+158</f>
        <v>31260</v>
      </c>
      <c r="EH34" s="1">
        <v>50001</v>
      </c>
      <c r="EI34" s="1">
        <v>52680</v>
      </c>
      <c r="EJ34" s="1">
        <v>22699</v>
      </c>
      <c r="EK34" s="1">
        <v>153789</v>
      </c>
      <c r="EL34" s="1">
        <f>45577+2263+490</f>
        <v>48330</v>
      </c>
      <c r="EM34" s="1">
        <f>40871+1422+456+150</f>
        <v>42899</v>
      </c>
      <c r="EN34" s="1">
        <v>45729</v>
      </c>
      <c r="EO34" s="1">
        <v>40011</v>
      </c>
      <c r="EP34" s="1">
        <f>68500+2100+500</f>
        <v>71100</v>
      </c>
      <c r="EQ34" s="1">
        <v>34705</v>
      </c>
      <c r="ER34" s="1">
        <v>43825</v>
      </c>
      <c r="ES34" s="1">
        <v>37551</v>
      </c>
      <c r="ET34" s="1">
        <v>51683</v>
      </c>
      <c r="EU34" s="1">
        <v>42707</v>
      </c>
      <c r="EV34" s="18">
        <v>45381</v>
      </c>
      <c r="EW34" s="1">
        <v>42428</v>
      </c>
      <c r="EX34" s="1">
        <v>76550</v>
      </c>
      <c r="EY34" s="1">
        <v>69944</v>
      </c>
      <c r="EZ34" s="1">
        <v>83241</v>
      </c>
      <c r="FA34" s="1">
        <f>50761+1851+546+389</f>
        <v>53547</v>
      </c>
      <c r="FB34" s="1">
        <v>55823</v>
      </c>
      <c r="FC34" s="1">
        <v>49158</v>
      </c>
      <c r="FD34" s="1">
        <v>91856</v>
      </c>
      <c r="FE34" s="1">
        <v>50375</v>
      </c>
      <c r="FF34" s="1">
        <f>83669+3615+1050+680</f>
        <v>89014</v>
      </c>
      <c r="FG34" s="1">
        <v>100395</v>
      </c>
      <c r="FH34" s="1">
        <v>138110</v>
      </c>
      <c r="FI34" s="1">
        <v>88143</v>
      </c>
      <c r="FJ34" s="1">
        <v>27635</v>
      </c>
      <c r="FK34" s="2">
        <f>45796+3500+829+8411</f>
        <v>58536</v>
      </c>
      <c r="FL34" s="1">
        <v>62364</v>
      </c>
      <c r="FM34" s="1">
        <v>63732</v>
      </c>
      <c r="FN34" s="1">
        <f>115835+14325+1689+298</f>
        <v>132147</v>
      </c>
      <c r="FO34" s="1">
        <f>97762+8682+1188</f>
        <v>107632</v>
      </c>
      <c r="FP34" s="1">
        <f>51440+1842+546</f>
        <v>53828</v>
      </c>
      <c r="FQ34" s="1">
        <v>71423</v>
      </c>
      <c r="FR34" s="1">
        <v>58451</v>
      </c>
      <c r="FS34" s="1">
        <v>174286</v>
      </c>
      <c r="FT34" s="1">
        <v>110338</v>
      </c>
      <c r="FU34" s="1">
        <v>25131</v>
      </c>
      <c r="FV34" s="41">
        <v>99414</v>
      </c>
      <c r="FW34" s="1">
        <v>73231</v>
      </c>
      <c r="FX34" s="1">
        <f>146266+10707+1715+1205+6049</f>
        <v>165942</v>
      </c>
      <c r="FY34" s="1">
        <v>71856</v>
      </c>
      <c r="FZ34" s="1">
        <v>169728</v>
      </c>
      <c r="GA34" s="1">
        <f>130926+1554+16521+58</f>
        <v>149059</v>
      </c>
      <c r="GB34" s="1">
        <v>136465</v>
      </c>
      <c r="GC34" s="1">
        <v>235073</v>
      </c>
      <c r="GD34" s="1">
        <v>285682</v>
      </c>
      <c r="GE34" s="2">
        <v>109698</v>
      </c>
      <c r="GF34" s="2">
        <f>68409+7438</f>
        <v>75847</v>
      </c>
      <c r="GG34" s="1">
        <f>193363+21811+2239</f>
        <v>217413</v>
      </c>
      <c r="GH34" s="1">
        <v>99800</v>
      </c>
      <c r="GI34" s="1">
        <v>121210</v>
      </c>
      <c r="GJ34" s="47">
        <v>126771</v>
      </c>
      <c r="GK34" s="1">
        <f>221394+10052+2408+10000+26310-224+2081</f>
        <v>272021</v>
      </c>
      <c r="GL34" s="1">
        <v>129834</v>
      </c>
      <c r="GM34" s="1">
        <f>52101+6301+659</f>
        <v>59061</v>
      </c>
      <c r="GN34" s="1">
        <v>117767</v>
      </c>
      <c r="GO34" s="1">
        <v>258815</v>
      </c>
      <c r="GP34" s="1">
        <v>135955</v>
      </c>
      <c r="GQ34" s="1"/>
    </row>
    <row r="35" spans="1:199" s="2" customFormat="1" ht="15">
      <c r="A35" s="2" t="s">
        <v>21</v>
      </c>
      <c r="B35" s="40"/>
      <c r="C35" s="40"/>
      <c r="D35" s="1"/>
      <c r="E35" s="1"/>
      <c r="F35" s="1"/>
      <c r="G35" s="1"/>
      <c r="H35" s="1"/>
      <c r="I35" s="1">
        <f>87840+26228+3480</f>
        <v>117548</v>
      </c>
      <c r="J35" s="1">
        <v>6287</v>
      </c>
      <c r="K35" s="1">
        <v>81643</v>
      </c>
      <c r="L35" s="1">
        <f>39604+124710+4590+13208-25</f>
        <v>182087</v>
      </c>
      <c r="M35" s="1"/>
      <c r="N35" s="1"/>
      <c r="O35" s="1">
        <v>10635</v>
      </c>
      <c r="P35" s="1"/>
      <c r="Q35" s="1">
        <v>62069</v>
      </c>
      <c r="R35" s="1">
        <f>89495+28369+4320</f>
        <v>122184</v>
      </c>
      <c r="S35" s="1"/>
      <c r="T35" s="1"/>
      <c r="U35" s="1"/>
      <c r="V35" s="1">
        <f>49959+156750+5720+3322</f>
        <v>215751</v>
      </c>
      <c r="W35" s="1">
        <v>23525</v>
      </c>
      <c r="X35" s="1">
        <f>5551+17815+1560</f>
        <v>24926</v>
      </c>
      <c r="Y35" s="1">
        <v>19541</v>
      </c>
      <c r="Z35" s="1">
        <v>90860</v>
      </c>
      <c r="AA35" s="1">
        <f>93+2303</f>
        <v>2396</v>
      </c>
      <c r="AB35" s="1"/>
      <c r="AC35" s="2">
        <v>259575</v>
      </c>
      <c r="AD35" s="1">
        <v>61599</v>
      </c>
      <c r="AE35" s="1"/>
      <c r="AF35" s="1">
        <f>6069+17816+520+88514</f>
        <v>112919</v>
      </c>
      <c r="AG35" s="1">
        <v>262971</v>
      </c>
      <c r="AH35" s="1">
        <f>27221+94900+3990+6069+17816+820</f>
        <v>150816</v>
      </c>
      <c r="AI35" s="1">
        <v>242717</v>
      </c>
      <c r="AJ35" s="1">
        <v>191063</v>
      </c>
      <c r="AK35" s="1">
        <f>194161-438</f>
        <v>193723</v>
      </c>
      <c r="AL35" s="1">
        <v>60300</v>
      </c>
      <c r="AM35" s="1">
        <v>149300</v>
      </c>
      <c r="AN35" s="1">
        <v>30983</v>
      </c>
      <c r="AO35" s="1">
        <v>142910</v>
      </c>
      <c r="AP35" s="1">
        <v>566148</v>
      </c>
      <c r="AQ35" s="1">
        <f>31682+101502+3120</f>
        <v>136304</v>
      </c>
      <c r="AR35" s="1">
        <v>19843</v>
      </c>
      <c r="AS35" s="1">
        <v>238976</v>
      </c>
      <c r="AT35" s="41">
        <f>5231+17677+1809</f>
        <v>24717</v>
      </c>
      <c r="AU35" s="1">
        <v>120334</v>
      </c>
      <c r="AV35" s="1">
        <f>17844+4000</f>
        <v>21844</v>
      </c>
      <c r="AW35" s="1">
        <v>170046</v>
      </c>
      <c r="AX35" s="1"/>
      <c r="AY35" s="1">
        <v>29292</v>
      </c>
      <c r="AZ35" s="1">
        <v>223032</v>
      </c>
      <c r="BA35" s="1">
        <v>416925</v>
      </c>
      <c r="BB35" s="18">
        <f>41393+3841+130153</f>
        <v>175387</v>
      </c>
      <c r="BC35" s="18"/>
      <c r="BD35" s="1"/>
      <c r="BE35" s="1">
        <f>20022+1365</f>
        <v>21387</v>
      </c>
      <c r="BF35" s="1"/>
      <c r="BG35" s="1">
        <f>5525+17847+1050</f>
        <v>24422</v>
      </c>
      <c r="BH35" s="1">
        <v>243881</v>
      </c>
      <c r="BI35" s="2">
        <f>57860+178015+6244-11-750</f>
        <v>241358</v>
      </c>
      <c r="BJ35" s="1">
        <v>399986</v>
      </c>
      <c r="BK35" s="1">
        <v>286398</v>
      </c>
      <c r="BL35" s="1">
        <v>313546</v>
      </c>
      <c r="BM35" s="1">
        <f>7539+4290</f>
        <v>11829</v>
      </c>
      <c r="BN35" s="1">
        <v>228447</v>
      </c>
      <c r="BO35" s="1">
        <v>145797</v>
      </c>
      <c r="BP35" s="1">
        <f>240984+25445</f>
        <v>266429</v>
      </c>
      <c r="BQ35" s="1">
        <v>244580</v>
      </c>
      <c r="BR35" s="1">
        <v>84713</v>
      </c>
      <c r="BS35" s="1">
        <v>320431</v>
      </c>
      <c r="BT35" s="1">
        <v>51134</v>
      </c>
      <c r="BU35" s="1">
        <v>145893</v>
      </c>
      <c r="BV35" s="1">
        <v>170585</v>
      </c>
      <c r="BW35" s="1">
        <v>172976</v>
      </c>
      <c r="BX35" s="1">
        <v>281839</v>
      </c>
      <c r="BY35" s="1">
        <v>325978</v>
      </c>
      <c r="BZ35" s="1">
        <v>192620</v>
      </c>
      <c r="CA35" s="1">
        <v>191962</v>
      </c>
      <c r="CB35" s="1">
        <v>482438</v>
      </c>
      <c r="CC35" s="1">
        <v>189405</v>
      </c>
      <c r="CD35" s="1">
        <v>43963</v>
      </c>
      <c r="CE35" s="1">
        <v>173032</v>
      </c>
      <c r="CF35" s="1">
        <v>288153</v>
      </c>
      <c r="CG35" s="1">
        <v>66691</v>
      </c>
      <c r="CH35" s="1">
        <v>8580</v>
      </c>
      <c r="CI35" s="1">
        <v>328074</v>
      </c>
      <c r="CJ35" s="1">
        <v>144731</v>
      </c>
      <c r="CK35" s="1">
        <f>22204+71386+2600</f>
        <v>96190</v>
      </c>
      <c r="CL35" s="1">
        <v>4279</v>
      </c>
      <c r="CM35" s="1">
        <v>144370</v>
      </c>
      <c r="CN35" s="1">
        <v>168578</v>
      </c>
      <c r="CO35" s="1">
        <v>326168</v>
      </c>
      <c r="CP35" s="1">
        <v>455414</v>
      </c>
      <c r="CQ35" s="1">
        <v>169379</v>
      </c>
      <c r="CR35" s="1">
        <f>69847+225646+8270</f>
        <v>303763</v>
      </c>
      <c r="CS35" s="1">
        <v>167946</v>
      </c>
      <c r="CT35" s="1">
        <f>31404+116544+3630+8</f>
        <v>151586</v>
      </c>
      <c r="CU35" s="1">
        <v>145591</v>
      </c>
      <c r="CV35" s="1">
        <v>169652</v>
      </c>
      <c r="CW35" s="1">
        <v>98447</v>
      </c>
      <c r="CX35" s="41">
        <v>37295</v>
      </c>
      <c r="CY35" s="1">
        <f>61686+197895+6110+2268+1927</f>
        <v>269886</v>
      </c>
      <c r="CZ35" s="1">
        <f>69921+220655+6680+21109-113</f>
        <v>318252</v>
      </c>
      <c r="DA35" s="1">
        <v>401090</v>
      </c>
      <c r="DB35" s="1">
        <f>58948+3853-12411</f>
        <v>50390</v>
      </c>
      <c r="DC35" s="1">
        <v>102934</v>
      </c>
      <c r="DD35" s="1">
        <v>410831</v>
      </c>
      <c r="DE35" s="1">
        <v>229812</v>
      </c>
      <c r="DF35" s="1">
        <v>120548</v>
      </c>
      <c r="DG35" s="1">
        <v>207674</v>
      </c>
      <c r="DH35" s="1">
        <f>29270+379368+1531</f>
        <v>410169</v>
      </c>
      <c r="DI35" s="1">
        <v>261322</v>
      </c>
      <c r="DJ35" s="1">
        <v>389118</v>
      </c>
      <c r="DK35" s="1">
        <f>43159+147472+2700</f>
        <v>193331</v>
      </c>
      <c r="DL35" s="1">
        <f>97273+307161+12030</f>
        <v>416464</v>
      </c>
      <c r="DM35" s="1">
        <v>205568</v>
      </c>
      <c r="DN35" s="1">
        <v>166373</v>
      </c>
      <c r="DO35" s="1">
        <v>322346</v>
      </c>
      <c r="DP35" s="1">
        <v>223202</v>
      </c>
      <c r="DQ35" s="1">
        <f>66612+215510+7280</f>
        <v>289402</v>
      </c>
      <c r="DR35" s="1">
        <v>168556</v>
      </c>
      <c r="DS35" s="1">
        <v>210058</v>
      </c>
      <c r="DT35" s="1">
        <v>216360</v>
      </c>
      <c r="DU35" s="1">
        <f>41846+136100+690+1420+16017</f>
        <v>196073</v>
      </c>
      <c r="DV35" s="1"/>
      <c r="DW35" s="1">
        <v>241578</v>
      </c>
      <c r="DX35" s="1">
        <v>306060</v>
      </c>
      <c r="DY35" s="1">
        <v>72726</v>
      </c>
      <c r="DZ35" s="1">
        <v>178220</v>
      </c>
      <c r="EA35" s="1">
        <v>159559</v>
      </c>
      <c r="EB35" s="1">
        <v>158190</v>
      </c>
      <c r="EC35" s="1">
        <f>74784+7500</f>
        <v>82284</v>
      </c>
      <c r="ED35" s="1">
        <v>210370</v>
      </c>
      <c r="EE35" s="1">
        <v>100169</v>
      </c>
      <c r="EF35" s="1">
        <v>15568</v>
      </c>
      <c r="EG35" s="1">
        <f>13468+51975+9100</f>
        <v>74543</v>
      </c>
      <c r="EH35" s="2">
        <v>216380</v>
      </c>
      <c r="EI35" s="1">
        <f>45938+146629+5110</f>
        <v>197677</v>
      </c>
      <c r="EJ35" s="1">
        <v>59728</v>
      </c>
      <c r="EK35" s="1">
        <v>693546</v>
      </c>
      <c r="EL35" s="1">
        <f>167453+51642+5200+10536</f>
        <v>234831</v>
      </c>
      <c r="EM35" s="1">
        <f>39541+123763+4680+42-25</f>
        <v>168001</v>
      </c>
      <c r="EN35" s="1">
        <v>198869</v>
      </c>
      <c r="EO35" s="1">
        <v>215382</v>
      </c>
      <c r="EP35" s="1">
        <f>67720+223294+7660</f>
        <v>298674</v>
      </c>
      <c r="EQ35" s="1">
        <v>146086</v>
      </c>
      <c r="ER35" s="1">
        <v>220304</v>
      </c>
      <c r="ES35" s="1">
        <v>170119</v>
      </c>
      <c r="ET35" s="1">
        <v>243555</v>
      </c>
      <c r="EU35" s="1">
        <v>198011</v>
      </c>
      <c r="EV35" s="18">
        <v>182376</v>
      </c>
      <c r="EW35" s="1">
        <v>210504</v>
      </c>
      <c r="EX35" s="1">
        <v>335338</v>
      </c>
      <c r="EY35" s="1">
        <v>301074</v>
      </c>
      <c r="EZ35" s="1">
        <v>343436</v>
      </c>
      <c r="FA35" s="1">
        <f>62235+191913+7200+1710+2012</f>
        <v>265070</v>
      </c>
      <c r="FB35" s="1">
        <v>234129</v>
      </c>
      <c r="FC35" s="1">
        <v>237155</v>
      </c>
      <c r="FD35" s="1">
        <v>437411</v>
      </c>
      <c r="FE35" s="1">
        <v>226764</v>
      </c>
      <c r="FF35" s="1">
        <f>323427+130556+20655</f>
        <v>474638</v>
      </c>
      <c r="FG35" s="1">
        <v>434713</v>
      </c>
      <c r="FH35" s="1">
        <v>626514</v>
      </c>
      <c r="FI35" s="1">
        <v>389496</v>
      </c>
      <c r="FJ35" s="1">
        <f>27830+87770+3640+10387</f>
        <v>129627</v>
      </c>
      <c r="FK35" s="2">
        <f>56620+183592+5300+5551+19275+830</f>
        <v>271168</v>
      </c>
      <c r="FL35" s="1">
        <v>256042</v>
      </c>
      <c r="FM35" s="1">
        <v>304202</v>
      </c>
      <c r="FN35" s="1">
        <f>132131+441149+11048</f>
        <v>584328</v>
      </c>
      <c r="FO35" s="1">
        <f>110430+349008+6355</f>
        <v>465793</v>
      </c>
      <c r="FP35" s="1">
        <f>58606+191978+6337</f>
        <v>256921</v>
      </c>
      <c r="FQ35" s="1">
        <v>314193</v>
      </c>
      <c r="FR35" s="1">
        <v>253249</v>
      </c>
      <c r="FS35" s="1">
        <v>869284</v>
      </c>
      <c r="FT35" s="1">
        <v>482935</v>
      </c>
      <c r="FU35" s="1">
        <f>25165+92473+3110</f>
        <v>120748</v>
      </c>
      <c r="FV35" s="41">
        <v>458557</v>
      </c>
      <c r="FW35" s="1">
        <v>365237</v>
      </c>
      <c r="FX35" s="1">
        <f>160873+529510+14810-125-5418</f>
        <v>699650</v>
      </c>
      <c r="FY35" s="1">
        <v>316078</v>
      </c>
      <c r="FZ35" s="1">
        <v>725202</v>
      </c>
      <c r="GA35" s="1">
        <f>146437+479385+15150+18880</f>
        <v>659852</v>
      </c>
      <c r="GB35" s="1">
        <f>137175+451522+12220</f>
        <v>600917</v>
      </c>
      <c r="GC35" s="1">
        <v>894262</v>
      </c>
      <c r="GD35" s="1">
        <v>1367795</v>
      </c>
      <c r="GE35" s="2">
        <v>535127</v>
      </c>
      <c r="GF35" s="2">
        <f>76258+235761+9880+519+7384</f>
        <v>329802</v>
      </c>
      <c r="GG35" s="1">
        <f>230582+742329+22570</f>
        <v>995481</v>
      </c>
      <c r="GH35" s="1">
        <v>395618</v>
      </c>
      <c r="GI35" s="1">
        <v>539882</v>
      </c>
      <c r="GJ35" s="18">
        <v>485453</v>
      </c>
      <c r="GK35" s="1">
        <f>249798+792274+27607-395+49839+9061+10117</f>
        <v>1138301</v>
      </c>
      <c r="GL35" s="1">
        <v>636279</v>
      </c>
      <c r="GM35" s="1">
        <v>279392</v>
      </c>
      <c r="GN35" s="1">
        <v>581954</v>
      </c>
      <c r="GO35" s="1">
        <v>1061254</v>
      </c>
      <c r="GP35" s="1">
        <v>668719</v>
      </c>
      <c r="GQ35" s="1"/>
    </row>
    <row r="36" spans="1:199" s="2" customFormat="1" ht="15">
      <c r="A36" s="2" t="s">
        <v>22</v>
      </c>
      <c r="B36" s="40"/>
      <c r="C36" s="40">
        <v>223</v>
      </c>
      <c r="D36" s="1">
        <v>-689</v>
      </c>
      <c r="E36" s="1"/>
      <c r="F36" s="1"/>
      <c r="G36" s="1">
        <v>1665</v>
      </c>
      <c r="H36" s="1"/>
      <c r="I36" s="1">
        <v>12017</v>
      </c>
      <c r="J36" s="1">
        <v>19170</v>
      </c>
      <c r="K36" s="1">
        <f>9501+75</f>
        <v>9576</v>
      </c>
      <c r="L36" s="1">
        <f>16910+324</f>
        <v>17234</v>
      </c>
      <c r="M36" s="1">
        <f>3853+63-14</f>
        <v>3902</v>
      </c>
      <c r="N36" s="1"/>
      <c r="O36" s="1">
        <v>13988</v>
      </c>
      <c r="P36" s="1">
        <v>775</v>
      </c>
      <c r="Q36" s="1">
        <v>9936</v>
      </c>
      <c r="R36" s="1">
        <f>19136+125</f>
        <v>19261</v>
      </c>
      <c r="S36" s="1">
        <f>128+11738</f>
        <v>11866</v>
      </c>
      <c r="T36" s="1">
        <v>561</v>
      </c>
      <c r="U36" s="1">
        <v>4409</v>
      </c>
      <c r="V36" s="1">
        <v>26387</v>
      </c>
      <c r="W36" s="1">
        <v>4362</v>
      </c>
      <c r="X36" s="1">
        <v>4511</v>
      </c>
      <c r="Y36" s="1">
        <v>2934</v>
      </c>
      <c r="Z36" s="1">
        <v>-313</v>
      </c>
      <c r="AA36" s="1">
        <v>20710</v>
      </c>
      <c r="AB36" s="1">
        <v>4463</v>
      </c>
      <c r="AC36" s="1">
        <v>25605</v>
      </c>
      <c r="AD36" s="1">
        <v>19634</v>
      </c>
      <c r="AE36" s="1"/>
      <c r="AF36" s="1">
        <f>5109+7691</f>
        <v>12800</v>
      </c>
      <c r="AG36" s="1">
        <v>27748</v>
      </c>
      <c r="AH36" s="1">
        <f>14987+7551</f>
        <v>22538</v>
      </c>
      <c r="AI36" s="1">
        <v>30055</v>
      </c>
      <c r="AJ36" s="1">
        <v>21747</v>
      </c>
      <c r="AK36" s="1">
        <v>25359</v>
      </c>
      <c r="AL36" s="1">
        <f>26420-224</f>
        <v>26196</v>
      </c>
      <c r="AM36" s="1">
        <v>24369</v>
      </c>
      <c r="AN36" s="1">
        <f>10363+125</f>
        <v>10488</v>
      </c>
      <c r="AO36" s="1">
        <v>21296</v>
      </c>
      <c r="AP36" s="1">
        <v>117002</v>
      </c>
      <c r="AQ36" s="1">
        <v>17683</v>
      </c>
      <c r="AR36" s="1">
        <v>5622</v>
      </c>
      <c r="AS36" s="1">
        <v>23751</v>
      </c>
      <c r="AT36" s="41">
        <v>4175</v>
      </c>
      <c r="AU36" s="1">
        <v>13497</v>
      </c>
      <c r="AV36" s="1">
        <v>1408</v>
      </c>
      <c r="AW36" s="1">
        <v>21076</v>
      </c>
      <c r="AX36" s="1">
        <v>1712</v>
      </c>
      <c r="AY36" s="1">
        <v>8650</v>
      </c>
      <c r="AZ36" s="1">
        <v>24525</v>
      </c>
      <c r="BA36" s="1">
        <f>40529+597</f>
        <v>41126</v>
      </c>
      <c r="BB36" s="18">
        <f>29670+144</f>
        <v>29814</v>
      </c>
      <c r="BC36" s="18">
        <v>1225</v>
      </c>
      <c r="BD36" s="1">
        <v>4299</v>
      </c>
      <c r="BE36" s="1">
        <f>103+5936</f>
        <v>6039</v>
      </c>
      <c r="BF36" s="1">
        <v>2467</v>
      </c>
      <c r="BG36" s="1">
        <f>61+5830</f>
        <v>5891</v>
      </c>
      <c r="BH36" s="1">
        <v>22310</v>
      </c>
      <c r="BI36" s="2">
        <f>32489+198</f>
        <v>32687</v>
      </c>
      <c r="BJ36" s="1">
        <v>32483</v>
      </c>
      <c r="BK36" s="1">
        <f>34115+200</f>
        <v>34315</v>
      </c>
      <c r="BL36" s="1">
        <v>33369</v>
      </c>
      <c r="BM36" s="1">
        <v>1697</v>
      </c>
      <c r="BN36" s="1">
        <v>18549</v>
      </c>
      <c r="BO36" s="1">
        <v>18499</v>
      </c>
      <c r="BP36" s="1">
        <f>23040+4780</f>
        <v>27820</v>
      </c>
      <c r="BQ36" s="1">
        <v>34753</v>
      </c>
      <c r="BR36" s="1">
        <v>19412</v>
      </c>
      <c r="BS36" s="1">
        <v>34142</v>
      </c>
      <c r="BT36" s="1">
        <v>15691</v>
      </c>
      <c r="BU36" s="1">
        <f>140+16802</f>
        <v>16942</v>
      </c>
      <c r="BV36" s="1">
        <v>15657</v>
      </c>
      <c r="BW36" s="1">
        <v>20140</v>
      </c>
      <c r="BX36" s="1">
        <v>25161</v>
      </c>
      <c r="BY36" s="1">
        <f>32160+204-317</f>
        <v>32047</v>
      </c>
      <c r="BZ36" s="1">
        <f>23001</f>
        <v>23001</v>
      </c>
      <c r="CA36" s="1">
        <v>21643</v>
      </c>
      <c r="CB36" s="1">
        <v>45788</v>
      </c>
      <c r="CC36" s="1">
        <f>19830+234</f>
        <v>20064</v>
      </c>
      <c r="CD36" s="1">
        <v>19713</v>
      </c>
      <c r="CE36" s="1">
        <v>21416</v>
      </c>
      <c r="CF36" s="1">
        <v>49295</v>
      </c>
      <c r="CG36" s="1">
        <v>8236</v>
      </c>
      <c r="CH36" s="1">
        <v>7511</v>
      </c>
      <c r="CI36" s="1">
        <v>28950</v>
      </c>
      <c r="CJ36" s="1">
        <f>17206+164</f>
        <v>17370</v>
      </c>
      <c r="CK36" s="1">
        <f>14250+60</f>
        <v>14310</v>
      </c>
      <c r="CL36" s="1">
        <v>4504</v>
      </c>
      <c r="CM36" s="1">
        <f>209+15861</f>
        <v>16070</v>
      </c>
      <c r="CN36" s="1">
        <f>18682+227</f>
        <v>18909</v>
      </c>
      <c r="CO36" s="1">
        <v>35777</v>
      </c>
      <c r="CP36" s="1">
        <v>44833</v>
      </c>
      <c r="CQ36" s="1">
        <v>18588</v>
      </c>
      <c r="CR36" s="1">
        <v>35671</v>
      </c>
      <c r="CS36" s="1">
        <v>20666</v>
      </c>
      <c r="CT36" s="1">
        <f>16850+391</f>
        <v>17241</v>
      </c>
      <c r="CU36" s="1">
        <v>15909</v>
      </c>
      <c r="CV36" s="1">
        <f>18684+508</f>
        <v>19192</v>
      </c>
      <c r="CW36" s="1">
        <v>9814</v>
      </c>
      <c r="CX36" s="41">
        <v>5334</v>
      </c>
      <c r="CY36" s="1">
        <v>40192</v>
      </c>
      <c r="CZ36" s="1">
        <f>34953+234</f>
        <v>35187</v>
      </c>
      <c r="DA36" s="1">
        <v>37959</v>
      </c>
      <c r="DB36" s="1">
        <v>14198</v>
      </c>
      <c r="DC36" s="1">
        <v>14242</v>
      </c>
      <c r="DD36" s="1">
        <v>34131</v>
      </c>
      <c r="DE36" s="1">
        <v>26054</v>
      </c>
      <c r="DF36" s="1">
        <f>819+16729</f>
        <v>17548</v>
      </c>
      <c r="DG36" s="1">
        <f>24562+216-571</f>
        <v>24207</v>
      </c>
      <c r="DH36" s="1">
        <v>71139</v>
      </c>
      <c r="DI36" s="1">
        <v>32562</v>
      </c>
      <c r="DJ36" s="1">
        <v>43213</v>
      </c>
      <c r="DK36" s="1">
        <v>27009</v>
      </c>
      <c r="DL36" s="1">
        <v>44542</v>
      </c>
      <c r="DM36" s="1">
        <f>21420+162</f>
        <v>21582</v>
      </c>
      <c r="DN36" s="1">
        <v>18972</v>
      </c>
      <c r="DO36" s="1">
        <v>41260</v>
      </c>
      <c r="DP36" s="1">
        <f>28036+292</f>
        <v>28328</v>
      </c>
      <c r="DQ36" s="1">
        <v>27577</v>
      </c>
      <c r="DR36" s="1">
        <v>18992</v>
      </c>
      <c r="DS36" s="1">
        <v>26071</v>
      </c>
      <c r="DT36" s="1">
        <f>19549+226</f>
        <v>19775</v>
      </c>
      <c r="DU36" s="1">
        <v>29255</v>
      </c>
      <c r="DV36" s="1">
        <v>3191</v>
      </c>
      <c r="DW36" s="1">
        <v>26753</v>
      </c>
      <c r="DX36" s="1">
        <v>47405</v>
      </c>
      <c r="DY36" s="1">
        <v>9151</v>
      </c>
      <c r="DZ36" s="1">
        <v>21328</v>
      </c>
      <c r="EA36" s="1">
        <v>39346</v>
      </c>
      <c r="EB36" s="1">
        <f>27603-75</f>
        <v>27528</v>
      </c>
      <c r="EC36" s="1">
        <v>13230</v>
      </c>
      <c r="ED36" s="1">
        <v>23939</v>
      </c>
      <c r="EE36" s="1">
        <v>17285</v>
      </c>
      <c r="EF36" s="1">
        <v>7773</v>
      </c>
      <c r="EG36" s="2">
        <v>19044</v>
      </c>
      <c r="EH36" s="2">
        <v>28109</v>
      </c>
      <c r="EI36" s="1">
        <f>23408+178+225</f>
        <v>23811</v>
      </c>
      <c r="EJ36" s="1">
        <v>12456</v>
      </c>
      <c r="EK36" s="1">
        <v>81106</v>
      </c>
      <c r="EL36" s="1">
        <v>26093</v>
      </c>
      <c r="EM36" s="1">
        <v>19270</v>
      </c>
      <c r="EN36" s="1">
        <f>22118-493</f>
        <v>21625</v>
      </c>
      <c r="EO36" s="1">
        <f>24938-316-480</f>
        <v>24142</v>
      </c>
      <c r="EP36" s="1">
        <v>26970</v>
      </c>
      <c r="EQ36" s="1">
        <v>15987</v>
      </c>
      <c r="ER36" s="1">
        <v>21363</v>
      </c>
      <c r="ES36" s="1">
        <v>18742</v>
      </c>
      <c r="ET36" s="1">
        <v>24245</v>
      </c>
      <c r="EU36" s="1">
        <v>21119</v>
      </c>
      <c r="EV36" s="18">
        <v>18732</v>
      </c>
      <c r="EW36" s="1">
        <v>21549</v>
      </c>
      <c r="EX36" s="1">
        <v>71448</v>
      </c>
      <c r="EY36" s="1">
        <v>46415</v>
      </c>
      <c r="EZ36" s="1">
        <f>33610+288-245</f>
        <v>33653</v>
      </c>
      <c r="FA36" s="1">
        <v>24933</v>
      </c>
      <c r="FB36" s="1">
        <v>26110</v>
      </c>
      <c r="FC36" s="1">
        <v>23594</v>
      </c>
      <c r="FD36" s="1">
        <v>26328</v>
      </c>
      <c r="FE36" s="1">
        <v>26322</v>
      </c>
      <c r="FF36" s="1">
        <v>44786</v>
      </c>
      <c r="FG36" s="1">
        <v>37082</v>
      </c>
      <c r="FH36" s="1">
        <v>51798</v>
      </c>
      <c r="FI36" s="1">
        <f>58095-148</f>
        <v>57947</v>
      </c>
      <c r="FJ36" s="1">
        <v>18914</v>
      </c>
      <c r="FK36" s="2">
        <f>21164+4000</f>
        <v>25164</v>
      </c>
      <c r="FL36" s="1">
        <v>23760</v>
      </c>
      <c r="FM36" s="1">
        <v>21721</v>
      </c>
      <c r="FN36" s="1">
        <v>56666</v>
      </c>
      <c r="FO36" s="1">
        <v>78605</v>
      </c>
      <c r="FP36" s="1">
        <v>32005</v>
      </c>
      <c r="FQ36" s="1">
        <v>47875</v>
      </c>
      <c r="FR36" s="1">
        <v>25990</v>
      </c>
      <c r="FS36" s="1">
        <v>63172</v>
      </c>
      <c r="FT36" s="1">
        <f>42616+396-80-91</f>
        <v>42841</v>
      </c>
      <c r="FU36" s="1">
        <v>11219</v>
      </c>
      <c r="FV36" s="41">
        <v>44540</v>
      </c>
      <c r="FW36" s="1">
        <v>27639</v>
      </c>
      <c r="FX36" s="1">
        <v>76305</v>
      </c>
      <c r="FY36" s="1">
        <v>29339</v>
      </c>
      <c r="FZ36" s="1">
        <f>62231+635-60</f>
        <v>62806</v>
      </c>
      <c r="GA36" s="1">
        <v>90479</v>
      </c>
      <c r="GB36" s="1">
        <v>73814</v>
      </c>
      <c r="GC36" s="1">
        <v>90499</v>
      </c>
      <c r="GD36" s="1">
        <f>104952+18182</f>
        <v>123134</v>
      </c>
      <c r="GE36" s="2">
        <v>53666</v>
      </c>
      <c r="GF36" s="2">
        <v>31322</v>
      </c>
      <c r="GG36" s="1">
        <v>93701</v>
      </c>
      <c r="GH36" s="1">
        <v>74559</v>
      </c>
      <c r="GI36" s="1">
        <v>97987</v>
      </c>
      <c r="GJ36" s="18">
        <v>59107</v>
      </c>
      <c r="GK36" s="1">
        <v>93549</v>
      </c>
      <c r="GL36" s="1">
        <v>59777</v>
      </c>
      <c r="GM36" s="1">
        <f>41282+187</f>
        <v>41469</v>
      </c>
      <c r="GN36" s="1">
        <v>69843</v>
      </c>
      <c r="GO36" s="1">
        <v>115783</v>
      </c>
      <c r="GP36" s="1">
        <v>55197</v>
      </c>
      <c r="GQ36" s="1"/>
    </row>
    <row r="37" spans="1:199" s="2" customFormat="1" ht="15">
      <c r="A37" s="2" t="s">
        <v>23</v>
      </c>
      <c r="B37" s="40"/>
      <c r="C37" s="40"/>
      <c r="D37" s="1"/>
      <c r="E37" s="1"/>
      <c r="F37" s="1"/>
      <c r="G37" s="1"/>
      <c r="H37" s="1"/>
      <c r="I37" s="1">
        <v>594</v>
      </c>
      <c r="J37" s="1">
        <f>12491+126-239+154</f>
        <v>12532</v>
      </c>
      <c r="K37" s="1">
        <v>105</v>
      </c>
      <c r="L37" s="1">
        <v>5244</v>
      </c>
      <c r="M37" s="1"/>
      <c r="N37" s="1"/>
      <c r="O37" s="1">
        <v>7880</v>
      </c>
      <c r="P37" s="1"/>
      <c r="Q37" s="1">
        <v>4300</v>
      </c>
      <c r="R37" s="1">
        <v>6208</v>
      </c>
      <c r="S37" s="1">
        <v>59</v>
      </c>
      <c r="T37" s="1"/>
      <c r="U37" s="1"/>
      <c r="V37" s="1">
        <v>10161</v>
      </c>
      <c r="W37" s="1"/>
      <c r="X37" s="1"/>
      <c r="Y37" s="1"/>
      <c r="Z37" s="1">
        <v>1739</v>
      </c>
      <c r="AA37" s="1"/>
      <c r="AB37" s="1"/>
      <c r="AC37" s="1">
        <v>18495</v>
      </c>
      <c r="AD37" s="1">
        <v>12217</v>
      </c>
      <c r="AE37" s="1"/>
      <c r="AF37" s="1">
        <v>6427</v>
      </c>
      <c r="AG37" s="1">
        <v>9608</v>
      </c>
      <c r="AH37" s="1">
        <f>6368+166</f>
        <v>6534</v>
      </c>
      <c r="AI37" s="1">
        <f>6853+8663+85+200-17-573</f>
        <v>15211</v>
      </c>
      <c r="AJ37" s="1">
        <v>5328</v>
      </c>
      <c r="AK37" s="1">
        <v>11307</v>
      </c>
      <c r="AL37" s="1">
        <v>5757</v>
      </c>
      <c r="AM37" s="1">
        <v>8310</v>
      </c>
      <c r="AN37" s="1"/>
      <c r="AO37" s="1">
        <v>4175</v>
      </c>
      <c r="AP37" s="1">
        <v>32575</v>
      </c>
      <c r="AQ37" s="1">
        <v>2935</v>
      </c>
      <c r="AR37" s="1"/>
      <c r="AS37" s="1">
        <v>8031</v>
      </c>
      <c r="AT37" s="41"/>
      <c r="AU37" s="1">
        <f>912-40</f>
        <v>872</v>
      </c>
      <c r="AV37" s="1"/>
      <c r="AW37" s="1">
        <v>3795</v>
      </c>
      <c r="AX37" s="1"/>
      <c r="AY37" s="1">
        <v>872</v>
      </c>
      <c r="AZ37" s="1">
        <f>3037+4918</f>
        <v>7955</v>
      </c>
      <c r="BA37" s="1">
        <f>9417+20890</f>
        <v>30307</v>
      </c>
      <c r="BB37" s="18">
        <v>6378</v>
      </c>
      <c r="BC37" s="18"/>
      <c r="BD37" s="1"/>
      <c r="BE37" s="1">
        <v>780</v>
      </c>
      <c r="BF37" s="1"/>
      <c r="BG37" s="1"/>
      <c r="BH37" s="1">
        <v>11148</v>
      </c>
      <c r="BI37" s="2">
        <f>5922+2133</f>
        <v>8055</v>
      </c>
      <c r="BJ37" s="1">
        <f>7455+1992+8684</f>
        <v>18131</v>
      </c>
      <c r="BK37" s="1">
        <v>9271</v>
      </c>
      <c r="BL37" s="1">
        <f>5130+2163</f>
        <v>7293</v>
      </c>
      <c r="BM37" s="1"/>
      <c r="BN37" s="1">
        <f>4691+2959</f>
        <v>7650</v>
      </c>
      <c r="BO37" s="1">
        <v>6607</v>
      </c>
      <c r="BP37" s="1">
        <f>7036+146</f>
        <v>7182</v>
      </c>
      <c r="BQ37" s="1">
        <v>16478</v>
      </c>
      <c r="BR37" s="1">
        <v>8817</v>
      </c>
      <c r="BS37" s="1">
        <f>8234+4026</f>
        <v>12260</v>
      </c>
      <c r="BT37" s="1"/>
      <c r="BU37" s="1">
        <v>6554</v>
      </c>
      <c r="BV37" s="1">
        <v>3622</v>
      </c>
      <c r="BW37" s="1">
        <v>9003</v>
      </c>
      <c r="BX37" s="1">
        <v>4273</v>
      </c>
      <c r="BY37" s="1">
        <f>4125+4242</f>
        <v>8367</v>
      </c>
      <c r="BZ37" s="1">
        <v>1183</v>
      </c>
      <c r="CA37" s="1">
        <v>8326</v>
      </c>
      <c r="CB37" s="1">
        <f>21746-1007</f>
        <v>20739</v>
      </c>
      <c r="CC37" s="1">
        <f>3852-57</f>
        <v>3795</v>
      </c>
      <c r="CD37" s="1">
        <v>3636</v>
      </c>
      <c r="CE37" s="1">
        <v>13240</v>
      </c>
      <c r="CF37" s="1">
        <f>5766+7818</f>
        <v>13584</v>
      </c>
      <c r="CG37" s="1">
        <v>1157</v>
      </c>
      <c r="CH37" s="1"/>
      <c r="CI37" s="1">
        <f>5580+6567</f>
        <v>12147</v>
      </c>
      <c r="CJ37" s="1">
        <v>3910</v>
      </c>
      <c r="CK37" s="1"/>
      <c r="CL37" s="1"/>
      <c r="CM37" s="1">
        <v>6735</v>
      </c>
      <c r="CN37" s="1">
        <f>4808+4969</f>
        <v>9777</v>
      </c>
      <c r="CO37" s="1">
        <v>9495</v>
      </c>
      <c r="CP37" s="1">
        <v>18563</v>
      </c>
      <c r="CQ37" s="1">
        <v>3831</v>
      </c>
      <c r="CR37" s="1">
        <v>29164</v>
      </c>
      <c r="CS37" s="1">
        <v>10211</v>
      </c>
      <c r="CT37" s="1">
        <v>4424</v>
      </c>
      <c r="CU37" s="1">
        <v>3903</v>
      </c>
      <c r="CV37" s="1">
        <v>5118</v>
      </c>
      <c r="CW37" s="1">
        <v>1628</v>
      </c>
      <c r="CX37" s="41"/>
      <c r="CY37" s="1">
        <v>16329</v>
      </c>
      <c r="CZ37" s="1">
        <v>5198</v>
      </c>
      <c r="DA37" s="1">
        <v>10505</v>
      </c>
      <c r="DB37" s="1">
        <v>910</v>
      </c>
      <c r="DC37" s="1">
        <f>9408+1474</f>
        <v>10882</v>
      </c>
      <c r="DD37" s="1">
        <v>10035</v>
      </c>
      <c r="DE37" s="1">
        <v>1499</v>
      </c>
      <c r="DF37" s="1">
        <v>2166</v>
      </c>
      <c r="DG37" s="1">
        <f>7266+867</f>
        <v>8133</v>
      </c>
      <c r="DH37" s="1">
        <v>13707</v>
      </c>
      <c r="DI37" s="1">
        <v>16264</v>
      </c>
      <c r="DJ37" s="1">
        <v>24089</v>
      </c>
      <c r="DK37" s="1">
        <v>7901</v>
      </c>
      <c r="DL37" s="1">
        <v>38867</v>
      </c>
      <c r="DM37" s="1">
        <f>4345+2684</f>
        <v>7029</v>
      </c>
      <c r="DN37" s="1">
        <v>3910</v>
      </c>
      <c r="DO37" s="1">
        <v>9952</v>
      </c>
      <c r="DP37" s="1">
        <v>14781</v>
      </c>
      <c r="DQ37" s="1">
        <v>8254</v>
      </c>
      <c r="DR37" s="1">
        <v>3668</v>
      </c>
      <c r="DS37" s="1">
        <f>11956+375-7</f>
        <v>12324</v>
      </c>
      <c r="DT37" s="1">
        <v>6250</v>
      </c>
      <c r="DU37" s="1">
        <v>21115</v>
      </c>
      <c r="DV37" s="1"/>
      <c r="DW37" s="1">
        <v>7115</v>
      </c>
      <c r="DX37" s="1">
        <v>9682</v>
      </c>
      <c r="DY37" s="1"/>
      <c r="DZ37" s="1">
        <v>4384</v>
      </c>
      <c r="EA37" s="1">
        <v>5158</v>
      </c>
      <c r="EB37" s="1">
        <v>5571</v>
      </c>
      <c r="EC37" s="1"/>
      <c r="ED37" s="1">
        <v>1463</v>
      </c>
      <c r="EE37" s="1">
        <v>7316</v>
      </c>
      <c r="EF37" s="1"/>
      <c r="EG37" s="2">
        <f>2518+5149</f>
        <v>7667</v>
      </c>
      <c r="EH37" s="2">
        <f>10175+215</f>
        <v>10390</v>
      </c>
      <c r="EI37" s="1">
        <v>6513</v>
      </c>
      <c r="EJ37" s="1"/>
      <c r="EK37" s="1">
        <f>3363+10878</f>
        <v>14241</v>
      </c>
      <c r="EL37" s="1">
        <v>8514</v>
      </c>
      <c r="EM37" s="1">
        <v>13825</v>
      </c>
      <c r="EN37" s="1">
        <f>7604+35</f>
        <v>7639</v>
      </c>
      <c r="EO37" s="1">
        <f>3474+1064</f>
        <v>4538</v>
      </c>
      <c r="EP37" s="1">
        <f>2182+5612</f>
        <v>7794</v>
      </c>
      <c r="EQ37" s="1">
        <v>2331</v>
      </c>
      <c r="ER37" s="1">
        <v>4916</v>
      </c>
      <c r="ES37" s="1">
        <v>6787</v>
      </c>
      <c r="ET37" s="1">
        <v>3449</v>
      </c>
      <c r="EU37" s="1">
        <v>2626</v>
      </c>
      <c r="EV37" s="18">
        <f>7218+2571-78</f>
        <v>9711</v>
      </c>
      <c r="EW37" s="1">
        <v>4182</v>
      </c>
      <c r="EX37" s="1">
        <v>16872</v>
      </c>
      <c r="EY37" s="1">
        <v>11338</v>
      </c>
      <c r="EZ37" s="1">
        <v>13423</v>
      </c>
      <c r="FA37" s="1">
        <v>9819</v>
      </c>
      <c r="FB37" s="1">
        <v>10268</v>
      </c>
      <c r="FC37" s="1">
        <v>8711</v>
      </c>
      <c r="FD37" s="1">
        <f>19310+7384</f>
        <v>26694</v>
      </c>
      <c r="FE37" s="1">
        <v>625</v>
      </c>
      <c r="FF37" s="1">
        <v>5910</v>
      </c>
      <c r="FG37" s="1">
        <v>4177</v>
      </c>
      <c r="FH37" s="1">
        <v>9182</v>
      </c>
      <c r="FI37" s="1">
        <v>10846</v>
      </c>
      <c r="FJ37" s="1">
        <v>1218</v>
      </c>
      <c r="FK37" s="2">
        <f>11589-225</f>
        <v>11364</v>
      </c>
      <c r="FL37" s="1">
        <f>60+375</f>
        <v>435</v>
      </c>
      <c r="FM37" s="1">
        <v>6124</v>
      </c>
      <c r="FN37" s="1">
        <v>18220</v>
      </c>
      <c r="FO37" s="1">
        <v>10589</v>
      </c>
      <c r="FP37" s="1">
        <v>12151</v>
      </c>
      <c r="FQ37" s="1">
        <v>14315</v>
      </c>
      <c r="FR37" s="1">
        <v>10673</v>
      </c>
      <c r="FS37" s="1">
        <v>31523</v>
      </c>
      <c r="FT37" s="1">
        <v>26365</v>
      </c>
      <c r="FU37" s="1" t="s">
        <v>50</v>
      </c>
      <c r="FV37" s="41">
        <f>12122+1718</f>
        <v>13840</v>
      </c>
      <c r="FW37" s="1">
        <v>7255</v>
      </c>
      <c r="FX37" s="1">
        <f>8947+9983</f>
        <v>18930</v>
      </c>
      <c r="FY37" s="1">
        <v>9811</v>
      </c>
      <c r="FZ37" s="1">
        <v>21063</v>
      </c>
      <c r="GA37" s="1">
        <v>11882</v>
      </c>
      <c r="GB37" s="1">
        <v>5034</v>
      </c>
      <c r="GC37" s="1">
        <v>30817</v>
      </c>
      <c r="GD37" s="1">
        <v>41999</v>
      </c>
      <c r="GE37" s="2">
        <v>4946</v>
      </c>
      <c r="GF37" s="2">
        <v>11080</v>
      </c>
      <c r="GG37" s="1">
        <v>53477</v>
      </c>
      <c r="GH37" s="1">
        <v>2160</v>
      </c>
      <c r="GI37" s="1">
        <v>10920</v>
      </c>
      <c r="GJ37" s="18">
        <v>18211</v>
      </c>
      <c r="GK37" s="1">
        <v>51689</v>
      </c>
      <c r="GL37" s="1">
        <v>7940</v>
      </c>
      <c r="GM37" s="1">
        <v>6778</v>
      </c>
      <c r="GN37" s="1">
        <f>28324-8285</f>
        <v>20039</v>
      </c>
      <c r="GO37" s="1">
        <v>61570</v>
      </c>
      <c r="GP37" s="1">
        <f>4719+16548+652</f>
        <v>21919</v>
      </c>
      <c r="GQ37" s="1"/>
    </row>
    <row r="38" spans="1:199" s="2" customFormat="1" ht="15">
      <c r="A38" s="2" t="s">
        <v>291</v>
      </c>
      <c r="B38" s="40"/>
      <c r="C38" s="4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>11250+4942</f>
        <v>16192</v>
      </c>
      <c r="R38" s="1"/>
      <c r="S38" s="1"/>
      <c r="T38" s="1"/>
      <c r="U38" s="1"/>
      <c r="V38" s="1">
        <v>4800</v>
      </c>
      <c r="W38" s="1"/>
      <c r="X38" s="1"/>
      <c r="Y38" s="1"/>
      <c r="Z38" s="1">
        <f>6173+29100</f>
        <v>35273</v>
      </c>
      <c r="AA38" s="1"/>
      <c r="AB38" s="1"/>
      <c r="AC38" s="1"/>
      <c r="AD38" s="1"/>
      <c r="AE38" s="1"/>
      <c r="AF38" s="1">
        <v>4500</v>
      </c>
      <c r="AG38" s="1">
        <f>6000+64800</f>
        <v>70800</v>
      </c>
      <c r="AH38" s="1"/>
      <c r="AI38" s="1"/>
      <c r="AJ38" s="1">
        <v>34594</v>
      </c>
      <c r="AK38" s="1"/>
      <c r="AL38" s="1"/>
      <c r="AM38" s="1"/>
      <c r="AN38" s="1"/>
      <c r="AO38" s="1"/>
      <c r="AP38" s="1">
        <v>7920</v>
      </c>
      <c r="AQ38" s="1"/>
      <c r="AR38" s="1">
        <v>34976</v>
      </c>
      <c r="AS38" s="1">
        <v>7665</v>
      </c>
      <c r="AT38" s="41">
        <v>22775</v>
      </c>
      <c r="AU38" s="1"/>
      <c r="AV38" s="1"/>
      <c r="AW38" s="1"/>
      <c r="AX38" s="1"/>
      <c r="AY38" s="1"/>
      <c r="AZ38" s="1"/>
      <c r="BA38" s="1">
        <v>5553</v>
      </c>
      <c r="BB38" s="18"/>
      <c r="BC38" s="18"/>
      <c r="BD38" s="1"/>
      <c r="BE38" s="1"/>
      <c r="BF38" s="1"/>
      <c r="BG38" s="1"/>
      <c r="BH38" s="1"/>
      <c r="BI38" s="2">
        <v>5388</v>
      </c>
      <c r="BJ38" s="1">
        <v>5400</v>
      </c>
      <c r="BK38" s="1">
        <v>4375</v>
      </c>
      <c r="BL38" s="1"/>
      <c r="BM38" s="1"/>
      <c r="BN38" s="1">
        <v>63600</v>
      </c>
      <c r="BO38" s="1">
        <f>2189+57000</f>
        <v>59189</v>
      </c>
      <c r="BP38" s="1">
        <v>8880</v>
      </c>
      <c r="BQ38" s="1"/>
      <c r="BR38" s="1"/>
      <c r="BS38" s="1">
        <v>5100</v>
      </c>
      <c r="BT38" s="1">
        <v>6615</v>
      </c>
      <c r="BU38" s="1"/>
      <c r="BV38" s="1"/>
      <c r="BW38" s="1"/>
      <c r="BX38" s="1">
        <v>7200</v>
      </c>
      <c r="BY38" s="1">
        <v>6446</v>
      </c>
      <c r="BZ38" s="1"/>
      <c r="CA38" s="1"/>
      <c r="CB38" s="1">
        <v>5023</v>
      </c>
      <c r="CC38" s="1"/>
      <c r="CD38" s="1"/>
      <c r="CE38" s="1"/>
      <c r="CF38" s="1">
        <f>9980+117600-66990</f>
        <v>60590</v>
      </c>
      <c r="CG38" s="1">
        <v>38000</v>
      </c>
      <c r="CH38" s="1"/>
      <c r="CI38" s="1"/>
      <c r="CJ38" s="1">
        <v>7270</v>
      </c>
      <c r="CK38" s="1">
        <v>13275</v>
      </c>
      <c r="CL38" s="1"/>
      <c r="CM38" s="1"/>
      <c r="CN38" s="1"/>
      <c r="CO38" s="1"/>
      <c r="CP38" s="1">
        <v>6425</v>
      </c>
      <c r="CQ38" s="1"/>
      <c r="CR38" s="1"/>
      <c r="CS38" s="1"/>
      <c r="CT38" s="1"/>
      <c r="CU38" s="1"/>
      <c r="CV38" s="1"/>
      <c r="CW38" s="1"/>
      <c r="CX38" s="41"/>
      <c r="CY38" s="1">
        <v>2151</v>
      </c>
      <c r="CZ38" s="1"/>
      <c r="DA38" s="1"/>
      <c r="DB38" s="1"/>
      <c r="DC38" s="1">
        <v>6807</v>
      </c>
      <c r="DD38" s="1"/>
      <c r="DE38" s="1">
        <v>3050</v>
      </c>
      <c r="DF38" s="1"/>
      <c r="DG38" s="1">
        <v>7944</v>
      </c>
      <c r="DH38" s="1"/>
      <c r="DI38" s="1"/>
      <c r="DJ38" s="1">
        <v>50103</v>
      </c>
      <c r="DK38" s="1">
        <f>3330+119676+20944</f>
        <v>143950</v>
      </c>
      <c r="DL38" s="1"/>
      <c r="DM38" s="1"/>
      <c r="DN38" s="1">
        <v>38433</v>
      </c>
      <c r="DO38" s="1"/>
      <c r="DP38" s="1"/>
      <c r="DQ38" s="1">
        <v>4800</v>
      </c>
      <c r="DR38" s="1" t="s">
        <v>50</v>
      </c>
      <c r="DS38" s="1"/>
      <c r="DT38" s="1"/>
      <c r="DU38" s="1">
        <f>155494+2825</f>
        <v>158319</v>
      </c>
      <c r="DV38" s="1"/>
      <c r="DW38" s="1"/>
      <c r="DX38" s="1">
        <v>108000</v>
      </c>
      <c r="DY38" s="1"/>
      <c r="DZ38" s="1">
        <f>96+357</f>
        <v>453</v>
      </c>
      <c r="EA38" s="1"/>
      <c r="EB38" s="1"/>
      <c r="EC38" s="1"/>
      <c r="ED38" s="1"/>
      <c r="EE38" s="1">
        <v>18900</v>
      </c>
      <c r="EF38" s="1"/>
      <c r="EI38" s="1">
        <v>2676</v>
      </c>
      <c r="EJ38" s="1"/>
      <c r="EK38" s="1"/>
      <c r="EL38" s="1"/>
      <c r="EM38" s="1" t="s">
        <v>50</v>
      </c>
      <c r="EN38" s="1"/>
      <c r="EO38" s="1"/>
      <c r="EP38" s="1">
        <v>5554</v>
      </c>
      <c r="EQ38" s="1"/>
      <c r="ER38" s="1" t="s">
        <v>50</v>
      </c>
      <c r="ES38" s="1">
        <v>6852</v>
      </c>
      <c r="ET38" s="1"/>
      <c r="EU38" s="1"/>
      <c r="EV38" s="18"/>
      <c r="EW38" s="1"/>
      <c r="EX38" s="1">
        <v>107820</v>
      </c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L38" s="1"/>
      <c r="FM38" s="1"/>
      <c r="FN38" s="1"/>
      <c r="FO38" s="1"/>
      <c r="FP38" s="1">
        <v>43395</v>
      </c>
      <c r="FQ38" s="1"/>
      <c r="FR38" s="1" t="s">
        <v>50</v>
      </c>
      <c r="FS38" s="1">
        <f>25161+9023</f>
        <v>34184</v>
      </c>
      <c r="FT38" s="1"/>
      <c r="FU38" s="1"/>
      <c r="FV38" s="41"/>
      <c r="FW38" s="1"/>
      <c r="FX38" s="1"/>
      <c r="FY38" s="1"/>
      <c r="FZ38" s="1"/>
      <c r="GA38" s="1"/>
      <c r="GB38" s="1">
        <v>7875</v>
      </c>
      <c r="GC38" s="1">
        <v>4223</v>
      </c>
      <c r="GD38" s="1">
        <v>5535</v>
      </c>
      <c r="GE38" s="2">
        <v>11267</v>
      </c>
      <c r="GG38" s="1"/>
      <c r="GH38" s="1">
        <v>7700</v>
      </c>
      <c r="GI38" s="1"/>
      <c r="GJ38" s="18"/>
      <c r="GK38" s="1"/>
      <c r="GL38" s="1">
        <v>36160</v>
      </c>
      <c r="GM38" s="1"/>
      <c r="GN38" s="1"/>
      <c r="GO38" s="1"/>
      <c r="GP38" s="1">
        <f>83200-47290</f>
        <v>35910</v>
      </c>
      <c r="GQ38" s="1"/>
    </row>
    <row r="39" spans="1:199" s="2" customFormat="1" ht="15">
      <c r="A39" s="2" t="s">
        <v>24</v>
      </c>
      <c r="B39" s="40"/>
      <c r="C39" s="40"/>
      <c r="D39" s="1">
        <v>525</v>
      </c>
      <c r="E39" s="1"/>
      <c r="F39" s="1"/>
      <c r="G39" s="1"/>
      <c r="H39" s="1"/>
      <c r="I39" s="1">
        <v>1603</v>
      </c>
      <c r="J39" s="1"/>
      <c r="K39" s="1">
        <v>2755</v>
      </c>
      <c r="L39" s="1">
        <v>3687</v>
      </c>
      <c r="M39" s="1"/>
      <c r="N39" s="1"/>
      <c r="O39" s="1">
        <v>3404</v>
      </c>
      <c r="P39" s="1"/>
      <c r="Q39" s="1">
        <v>1627</v>
      </c>
      <c r="R39" s="1">
        <v>2756</v>
      </c>
      <c r="S39" s="1">
        <v>3169</v>
      </c>
      <c r="T39" s="1"/>
      <c r="U39" s="1">
        <v>884</v>
      </c>
      <c r="V39" s="1">
        <v>6473</v>
      </c>
      <c r="W39" s="1">
        <v>2051</v>
      </c>
      <c r="X39" s="1">
        <v>3602</v>
      </c>
      <c r="Y39" s="1">
        <v>1362</v>
      </c>
      <c r="Z39" s="1"/>
      <c r="AA39" s="1">
        <v>537</v>
      </c>
      <c r="AB39" s="1"/>
      <c r="AC39" s="2">
        <v>4498</v>
      </c>
      <c r="AD39" s="1">
        <v>2055</v>
      </c>
      <c r="AE39" s="1"/>
      <c r="AF39" s="1">
        <f>1205+408</f>
        <v>1613</v>
      </c>
      <c r="AG39" s="1"/>
      <c r="AH39" s="1">
        <v>2638</v>
      </c>
      <c r="AI39" s="1">
        <v>3687</v>
      </c>
      <c r="AJ39" s="1">
        <v>1374</v>
      </c>
      <c r="AK39" s="1">
        <v>1782</v>
      </c>
      <c r="AL39" s="1">
        <v>1724</v>
      </c>
      <c r="AM39" s="1">
        <v>4705</v>
      </c>
      <c r="AN39" s="1">
        <v>3641</v>
      </c>
      <c r="AO39" s="1">
        <v>3326</v>
      </c>
      <c r="AP39" s="1">
        <v>8908</v>
      </c>
      <c r="AQ39" s="1">
        <v>3485</v>
      </c>
      <c r="AR39" s="1"/>
      <c r="AS39" s="1">
        <v>2160</v>
      </c>
      <c r="AT39" s="41">
        <v>2550</v>
      </c>
      <c r="AU39" s="1"/>
      <c r="AV39" s="1">
        <v>939</v>
      </c>
      <c r="AW39" s="1"/>
      <c r="AX39" s="1">
        <v>937</v>
      </c>
      <c r="AY39" s="1">
        <v>1680</v>
      </c>
      <c r="AZ39" s="1">
        <v>2395</v>
      </c>
      <c r="BA39" s="1">
        <v>4400</v>
      </c>
      <c r="BB39" s="18">
        <v>2941</v>
      </c>
      <c r="BC39" s="18" t="s">
        <v>50</v>
      </c>
      <c r="BD39" s="1">
        <v>1939</v>
      </c>
      <c r="BE39" s="1">
        <v>1591</v>
      </c>
      <c r="BF39" s="1" t="s">
        <v>50</v>
      </c>
      <c r="BG39" s="1">
        <v>2145</v>
      </c>
      <c r="BH39" s="1"/>
      <c r="BI39" s="2">
        <v>2675</v>
      </c>
      <c r="BJ39" s="1"/>
      <c r="BK39" s="1">
        <v>3451</v>
      </c>
      <c r="BL39" s="1"/>
      <c r="BM39" s="1">
        <v>2703</v>
      </c>
      <c r="BN39" s="1"/>
      <c r="BO39" s="1"/>
      <c r="BP39" s="1">
        <v>1566</v>
      </c>
      <c r="BQ39" s="1"/>
      <c r="BR39" s="1">
        <v>5384</v>
      </c>
      <c r="BS39" s="1">
        <v>3870</v>
      </c>
      <c r="BT39" s="1">
        <v>380</v>
      </c>
      <c r="BU39" s="1">
        <v>2767</v>
      </c>
      <c r="BV39" s="1">
        <v>3010</v>
      </c>
      <c r="BW39" s="1">
        <f>2389-327</f>
        <v>2062</v>
      </c>
      <c r="BX39" s="1" t="s">
        <v>50</v>
      </c>
      <c r="BY39" s="1"/>
      <c r="BZ39" s="1">
        <v>4527</v>
      </c>
      <c r="CA39" s="1">
        <v>2654</v>
      </c>
      <c r="CB39" s="1"/>
      <c r="CC39" s="1"/>
      <c r="CD39" s="1">
        <v>2513</v>
      </c>
      <c r="CE39" s="1">
        <v>6398</v>
      </c>
      <c r="CF39" s="1"/>
      <c r="CG39" s="1">
        <v>3938</v>
      </c>
      <c r="CH39" s="1">
        <v>4369</v>
      </c>
      <c r="CI39" s="1">
        <v>4660</v>
      </c>
      <c r="CJ39" s="1">
        <v>3731</v>
      </c>
      <c r="CK39" s="1">
        <v>3480</v>
      </c>
      <c r="CL39" s="1"/>
      <c r="CM39" s="1">
        <v>3435</v>
      </c>
      <c r="CN39" s="1">
        <v>2640</v>
      </c>
      <c r="CO39" s="1"/>
      <c r="CP39" s="1"/>
      <c r="CQ39" s="1">
        <v>2501</v>
      </c>
      <c r="CR39" s="1"/>
      <c r="CS39" s="1">
        <v>3021</v>
      </c>
      <c r="CT39" s="1">
        <v>1261</v>
      </c>
      <c r="CU39" s="1">
        <v>2804</v>
      </c>
      <c r="CV39" s="1"/>
      <c r="CW39" s="1">
        <v>960</v>
      </c>
      <c r="CX39" s="41">
        <v>1065</v>
      </c>
      <c r="CY39" s="1"/>
      <c r="CZ39" s="1">
        <v>4818</v>
      </c>
      <c r="DA39" s="1"/>
      <c r="DB39" s="1">
        <v>3922</v>
      </c>
      <c r="DC39" s="1"/>
      <c r="DD39" s="1"/>
      <c r="DE39" s="1"/>
      <c r="DF39" s="1"/>
      <c r="DG39" s="1"/>
      <c r="DH39" s="1"/>
      <c r="DI39" s="1"/>
      <c r="DJ39" s="1">
        <v>2792</v>
      </c>
      <c r="DK39" s="1">
        <v>0</v>
      </c>
      <c r="DL39" s="1">
        <v>4244</v>
      </c>
      <c r="DM39" s="1"/>
      <c r="DN39" s="1"/>
      <c r="DO39" s="1">
        <v>4045</v>
      </c>
      <c r="DP39" s="1"/>
      <c r="DQ39" s="1">
        <v>4931</v>
      </c>
      <c r="DR39" s="2">
        <v>3249</v>
      </c>
      <c r="DT39" s="2">
        <v>2640</v>
      </c>
      <c r="DU39" s="2">
        <v>4192</v>
      </c>
      <c r="DV39" s="2">
        <v>2702</v>
      </c>
      <c r="DW39" s="1">
        <v>7659</v>
      </c>
      <c r="DX39" s="1">
        <v>1770</v>
      </c>
      <c r="DY39" s="1">
        <v>514</v>
      </c>
      <c r="DZ39" s="1">
        <v>2458</v>
      </c>
      <c r="EA39" s="1">
        <v>1593</v>
      </c>
      <c r="EB39" s="1"/>
      <c r="EC39" s="1">
        <v>4935</v>
      </c>
      <c r="ED39" s="1">
        <v>4811</v>
      </c>
      <c r="EE39" s="1"/>
      <c r="EF39" s="2">
        <v>3138</v>
      </c>
      <c r="EG39" s="1">
        <v>1920</v>
      </c>
      <c r="EH39" s="1">
        <v>3070</v>
      </c>
      <c r="EI39" s="1">
        <v>3838</v>
      </c>
      <c r="EJ39" s="1"/>
      <c r="EK39" s="1">
        <v>9174</v>
      </c>
      <c r="EL39" s="1">
        <v>3850</v>
      </c>
      <c r="EM39" s="1">
        <v>3459</v>
      </c>
      <c r="EN39" s="1"/>
      <c r="EO39" s="1">
        <v>1688</v>
      </c>
      <c r="EP39" s="1">
        <v>3779</v>
      </c>
      <c r="EQ39" s="1"/>
      <c r="ER39" s="1">
        <v>3617</v>
      </c>
      <c r="ES39" s="1">
        <v>3390</v>
      </c>
      <c r="ET39" s="1">
        <v>8049</v>
      </c>
      <c r="EU39" s="1">
        <v>1553</v>
      </c>
      <c r="EV39" s="18"/>
      <c r="EW39" s="1">
        <v>2574</v>
      </c>
      <c r="EX39" s="1"/>
      <c r="EY39" s="1"/>
      <c r="EZ39" s="1">
        <v>4488</v>
      </c>
      <c r="FA39" s="1">
        <v>2880</v>
      </c>
      <c r="FB39" s="1">
        <v>4227</v>
      </c>
      <c r="FC39" s="1">
        <v>4594</v>
      </c>
      <c r="FD39" s="1">
        <v>3344</v>
      </c>
      <c r="FE39" s="1"/>
      <c r="FF39" s="1">
        <v>5246</v>
      </c>
      <c r="FG39" s="1"/>
      <c r="FH39" s="1">
        <v>6801</v>
      </c>
      <c r="FI39" s="1">
        <v>5010</v>
      </c>
      <c r="FJ39" s="1"/>
      <c r="FL39" s="1">
        <v>4833</v>
      </c>
      <c r="FM39" s="1">
        <v>3945</v>
      </c>
      <c r="FN39" s="1">
        <v>6600</v>
      </c>
      <c r="FO39" s="1" t="s">
        <v>50</v>
      </c>
      <c r="FP39" s="1">
        <v>4409</v>
      </c>
      <c r="FQ39" s="1">
        <v>2219</v>
      </c>
      <c r="FR39" s="1">
        <v>2209</v>
      </c>
      <c r="FS39" s="1">
        <v>12048</v>
      </c>
      <c r="FT39" s="1"/>
      <c r="FU39" s="1">
        <v>1902</v>
      </c>
      <c r="FV39" s="41"/>
      <c r="FW39" s="1">
        <v>4331</v>
      </c>
      <c r="FX39" s="1">
        <v>7015</v>
      </c>
      <c r="FY39" s="1">
        <v>6312</v>
      </c>
      <c r="FZ39" s="1"/>
      <c r="GA39" s="1"/>
      <c r="GB39" s="1">
        <v>11355</v>
      </c>
      <c r="GC39" s="1"/>
      <c r="GD39" s="1">
        <v>9323</v>
      </c>
      <c r="GE39" s="2">
        <v>5520</v>
      </c>
      <c r="GG39" s="1"/>
      <c r="GH39" s="1">
        <v>5443</v>
      </c>
      <c r="GI39" s="1">
        <v>1656</v>
      </c>
      <c r="GJ39" s="18">
        <v>8319</v>
      </c>
      <c r="GK39" s="1">
        <v>14784</v>
      </c>
      <c r="GL39" s="1">
        <v>7794</v>
      </c>
      <c r="GM39" s="1">
        <v>6105</v>
      </c>
      <c r="GN39" s="1"/>
      <c r="GO39" s="1"/>
      <c r="GP39" s="1">
        <v>9000</v>
      </c>
      <c r="GQ39" s="1"/>
    </row>
    <row r="40" spans="1:199" s="2" customFormat="1" ht="15">
      <c r="A40" s="2" t="s">
        <v>276</v>
      </c>
      <c r="B40" s="40"/>
      <c r="C40" s="40">
        <v>76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623</v>
      </c>
      <c r="P40" s="1"/>
      <c r="Q40" s="1"/>
      <c r="R40" s="1"/>
      <c r="S40" s="1"/>
      <c r="T40" s="1"/>
      <c r="U40" s="1"/>
      <c r="V40" s="1">
        <v>1053</v>
      </c>
      <c r="W40" s="1">
        <f>147+900</f>
        <v>1047</v>
      </c>
      <c r="X40" s="1"/>
      <c r="Y40" s="1"/>
      <c r="Z40" s="1">
        <f>9700+391</f>
        <v>10091</v>
      </c>
      <c r="AA40" s="1"/>
      <c r="AB40" s="1"/>
      <c r="AD40" s="1">
        <f>262-38</f>
        <v>224</v>
      </c>
      <c r="AE40" s="1"/>
      <c r="AF40" s="1"/>
      <c r="AG40" s="1">
        <v>1554</v>
      </c>
      <c r="AH40" s="1">
        <v>517</v>
      </c>
      <c r="AI40" s="1"/>
      <c r="AJ40" s="1">
        <v>5000</v>
      </c>
      <c r="AK40" s="1"/>
      <c r="AL40" s="1"/>
      <c r="AM40" s="1">
        <v>5761</v>
      </c>
      <c r="AN40" s="1"/>
      <c r="AO40" s="1"/>
      <c r="AP40" s="1">
        <f>2575+2175</f>
        <v>4750</v>
      </c>
      <c r="AQ40" s="1">
        <f>108+375+75</f>
        <v>558</v>
      </c>
      <c r="AR40" s="1"/>
      <c r="AS40" s="1"/>
      <c r="AT40" s="41">
        <v>1025</v>
      </c>
      <c r="AU40" s="1"/>
      <c r="AV40" s="1">
        <f>100+10000+125</f>
        <v>10225</v>
      </c>
      <c r="AW40" s="1">
        <f>111+1911+420</f>
        <v>2442</v>
      </c>
      <c r="AX40" s="1">
        <v>80</v>
      </c>
      <c r="AY40" s="1"/>
      <c r="AZ40" s="1">
        <v>1052</v>
      </c>
      <c r="BA40" s="1"/>
      <c r="BB40" s="18"/>
      <c r="BC40" s="18"/>
      <c r="BD40" s="1">
        <v>8430</v>
      </c>
      <c r="BE40" s="1" t="s">
        <v>50</v>
      </c>
      <c r="BF40" s="1" t="s">
        <v>50</v>
      </c>
      <c r="BG40" s="1"/>
      <c r="BH40" s="1">
        <f>585+257-310-56</f>
        <v>476</v>
      </c>
      <c r="BJ40" s="1">
        <f>540+414-72-20</f>
        <v>862</v>
      </c>
      <c r="BK40" s="1"/>
      <c r="BL40" s="1"/>
      <c r="BM40" s="1"/>
      <c r="BN40" s="1">
        <f>216+757</f>
        <v>973</v>
      </c>
      <c r="BO40" s="1"/>
      <c r="BP40" s="1">
        <f>2857+231+44-3</f>
        <v>3129</v>
      </c>
      <c r="BQ40" s="1">
        <f>2199+296-22-49</f>
        <v>2424</v>
      </c>
      <c r="BR40" s="1">
        <v>126</v>
      </c>
      <c r="BS40" s="1">
        <f>355+270</f>
        <v>625</v>
      </c>
      <c r="BT40" s="1">
        <f>125+125+114</f>
        <v>364</v>
      </c>
      <c r="BU40" s="1"/>
      <c r="BV40" s="1">
        <f>15+252+945</f>
        <v>1212</v>
      </c>
      <c r="BW40" s="1"/>
      <c r="BX40" s="1">
        <v>214</v>
      </c>
      <c r="BY40" s="1"/>
      <c r="BZ40" s="1">
        <f>2778+251</f>
        <v>3029</v>
      </c>
      <c r="CA40" s="1">
        <v>1113</v>
      </c>
      <c r="CB40" s="1"/>
      <c r="CC40" s="1"/>
      <c r="CD40" s="1">
        <f>937+211</f>
        <v>1148</v>
      </c>
      <c r="CE40" s="1">
        <v>700</v>
      </c>
      <c r="CF40" s="1">
        <f>345+810-57</f>
        <v>1098</v>
      </c>
      <c r="CG40" s="1"/>
      <c r="CH40" s="1"/>
      <c r="CI40" s="1">
        <f>297+1234</f>
        <v>1531</v>
      </c>
      <c r="CJ40" s="1"/>
      <c r="CK40" s="1"/>
      <c r="CL40" s="1"/>
      <c r="CM40" s="1"/>
      <c r="CN40" s="1">
        <v>47</v>
      </c>
      <c r="CO40" s="1"/>
      <c r="CP40" s="1">
        <f>441-93</f>
        <v>348</v>
      </c>
      <c r="CQ40" s="1"/>
      <c r="CR40" s="1">
        <f>192+75+562</f>
        <v>829</v>
      </c>
      <c r="CS40" s="1" t="s">
        <v>50</v>
      </c>
      <c r="CT40" s="1"/>
      <c r="CU40" s="1"/>
      <c r="CV40" s="1"/>
      <c r="CW40" s="1">
        <f>2080+194</f>
        <v>2274</v>
      </c>
      <c r="CX40" s="41">
        <v>101</v>
      </c>
      <c r="CY40" s="1">
        <f>645+234+948</f>
        <v>1827</v>
      </c>
      <c r="CZ40" s="1">
        <f>360+645</f>
        <v>1005</v>
      </c>
      <c r="DA40" s="1">
        <f>417-18</f>
        <v>399</v>
      </c>
      <c r="DB40" s="1">
        <f>452+7987</f>
        <v>8439</v>
      </c>
      <c r="DC40" s="1">
        <f>176+8754</f>
        <v>8930</v>
      </c>
      <c r="DD40" s="1">
        <f>5449+311+375-79</f>
        <v>6056</v>
      </c>
      <c r="DE40" s="1">
        <f>855+196-150</f>
        <v>901</v>
      </c>
      <c r="DF40" s="1"/>
      <c r="DG40" s="1"/>
      <c r="DH40" s="1">
        <v>3695</v>
      </c>
      <c r="DI40" s="1">
        <f>805+1037+100</f>
        <v>1942</v>
      </c>
      <c r="DJ40" s="1">
        <v>4245</v>
      </c>
      <c r="DK40" s="1">
        <f>2152+705</f>
        <v>2857</v>
      </c>
      <c r="DL40" s="1">
        <f>324+4100+577</f>
        <v>5001</v>
      </c>
      <c r="DM40" s="1" t="s">
        <v>50</v>
      </c>
      <c r="DN40" s="1">
        <f>1272+143</f>
        <v>1415</v>
      </c>
      <c r="DO40" s="1"/>
      <c r="DP40" s="1"/>
      <c r="DQ40" s="1"/>
      <c r="DR40" s="2">
        <v>633</v>
      </c>
      <c r="DW40" s="1">
        <f>600+708-599</f>
        <v>709</v>
      </c>
      <c r="DX40" s="1">
        <f>386+129+328</f>
        <v>843</v>
      </c>
      <c r="DY40" s="1"/>
      <c r="DZ40" s="1" t="s">
        <v>50</v>
      </c>
      <c r="EA40" s="1">
        <v>560</v>
      </c>
      <c r="EB40" s="1">
        <v>2168</v>
      </c>
      <c r="EC40" s="1"/>
      <c r="ED40" s="1">
        <f>4655+211</f>
        <v>4866</v>
      </c>
      <c r="EE40" s="1">
        <f>166+1318</f>
        <v>1484</v>
      </c>
      <c r="EG40" s="1"/>
      <c r="EH40" s="1"/>
      <c r="EI40" s="1"/>
      <c r="EJ40" s="1">
        <f>317+1440</f>
        <v>1757</v>
      </c>
      <c r="EK40" s="1">
        <f>9918+548+2970-992</f>
        <v>12444</v>
      </c>
      <c r="EL40" s="1">
        <f>215+426+40</f>
        <v>681</v>
      </c>
      <c r="EM40" s="1"/>
      <c r="EN40" s="1"/>
      <c r="EO40" s="1"/>
      <c r="EP40" s="1"/>
      <c r="EQ40" s="1">
        <v>6648</v>
      </c>
      <c r="ER40" s="1">
        <v>413</v>
      </c>
      <c r="ES40" s="1">
        <f>225+164</f>
        <v>389</v>
      </c>
      <c r="ET40" s="1">
        <f>397+435</f>
        <v>832</v>
      </c>
      <c r="EU40" s="1"/>
      <c r="EV40" s="18"/>
      <c r="EW40" s="1">
        <f>319-91</f>
        <v>228</v>
      </c>
      <c r="EX40" s="1">
        <f>2858+978+388-105</f>
        <v>4119</v>
      </c>
      <c r="EY40" s="1">
        <f>4243+543</f>
        <v>4786</v>
      </c>
      <c r="EZ40" s="1"/>
      <c r="FA40" s="1"/>
      <c r="FB40" s="1"/>
      <c r="FC40" s="1">
        <f>702+257</f>
        <v>959</v>
      </c>
      <c r="FD40" s="1">
        <f>1800+1276-62</f>
        <v>3014</v>
      </c>
      <c r="FE40" s="1">
        <v>700</v>
      </c>
      <c r="FF40" s="1"/>
      <c r="FG40" s="1">
        <f>4735+750+629</f>
        <v>6114</v>
      </c>
      <c r="FH40" s="1">
        <v>8455</v>
      </c>
      <c r="FI40" s="1">
        <f>1025+23808</f>
        <v>24833</v>
      </c>
      <c r="FJ40" s="1">
        <f>868-24+1925</f>
        <v>2769</v>
      </c>
      <c r="FK40" s="2">
        <v>0</v>
      </c>
      <c r="FL40" s="1">
        <f>3333+345+952-3810</f>
        <v>820</v>
      </c>
      <c r="FM40" s="1">
        <f>157+227</f>
        <v>384</v>
      </c>
      <c r="FN40" s="1">
        <v>2830</v>
      </c>
      <c r="FO40" s="1"/>
      <c r="FP40" s="1"/>
      <c r="FQ40" s="1"/>
      <c r="FR40" s="1" t="s">
        <v>50</v>
      </c>
      <c r="FS40" s="1">
        <f>1227+762</f>
        <v>1989</v>
      </c>
      <c r="FT40" s="1"/>
      <c r="FU40" s="1">
        <f>372+337</f>
        <v>709</v>
      </c>
      <c r="FV40" s="41">
        <f>396+277-45</f>
        <v>628</v>
      </c>
      <c r="FW40" s="1"/>
      <c r="FX40" s="1" t="s">
        <v>50</v>
      </c>
      <c r="FY40" s="1"/>
      <c r="FZ40" s="1"/>
      <c r="GA40" s="1">
        <f>1278+1085+927</f>
        <v>3290</v>
      </c>
      <c r="GB40" s="1">
        <f>961+675+915</f>
        <v>2551</v>
      </c>
      <c r="GC40" s="1">
        <f>3825+220+1131-2135</f>
        <v>3041</v>
      </c>
      <c r="GD40" s="1">
        <v>12498</v>
      </c>
      <c r="GE40" s="2">
        <v>745</v>
      </c>
      <c r="GG40" s="1">
        <f>17338+2225</f>
        <v>19563</v>
      </c>
      <c r="GH40" s="1"/>
      <c r="GI40" s="1">
        <v>378</v>
      </c>
      <c r="GJ40" s="18"/>
      <c r="GK40" s="1">
        <v>7200</v>
      </c>
      <c r="GL40" s="1">
        <f>967+27</f>
        <v>994</v>
      </c>
      <c r="GM40" s="1">
        <f>328+60</f>
        <v>388</v>
      </c>
      <c r="GN40" s="1">
        <v>1500</v>
      </c>
      <c r="GO40" s="1"/>
      <c r="GP40" s="1"/>
      <c r="GQ40" s="1"/>
    </row>
    <row r="41" spans="1:199" s="2" customFormat="1" ht="15">
      <c r="A41" s="2" t="s">
        <v>25</v>
      </c>
      <c r="B41" s="40">
        <v>4143</v>
      </c>
      <c r="C41" s="40">
        <v>6680</v>
      </c>
      <c r="D41" s="1">
        <v>11771</v>
      </c>
      <c r="E41" s="1">
        <v>11833</v>
      </c>
      <c r="F41" s="1">
        <v>5632</v>
      </c>
      <c r="G41" s="1">
        <v>7311</v>
      </c>
      <c r="H41" s="1">
        <v>4113</v>
      </c>
      <c r="I41" s="1">
        <v>3544</v>
      </c>
      <c r="J41" s="1">
        <v>77411</v>
      </c>
      <c r="K41" s="1">
        <v>52319</v>
      </c>
      <c r="L41" s="1">
        <v>13507</v>
      </c>
      <c r="M41" s="1">
        <v>34319</v>
      </c>
      <c r="N41" s="1">
        <v>10211</v>
      </c>
      <c r="O41" s="1">
        <v>55782</v>
      </c>
      <c r="P41" s="1">
        <v>10698</v>
      </c>
      <c r="Q41" s="1">
        <v>78368</v>
      </c>
      <c r="R41" s="1">
        <v>37556</v>
      </c>
      <c r="S41" s="1">
        <v>84850</v>
      </c>
      <c r="T41" s="1">
        <v>8625</v>
      </c>
      <c r="U41" s="1">
        <v>17447</v>
      </c>
      <c r="V41" s="1">
        <v>14250</v>
      </c>
      <c r="W41" s="1">
        <v>14405</v>
      </c>
      <c r="X41" s="1">
        <v>6839</v>
      </c>
      <c r="Y41" s="1">
        <v>5020</v>
      </c>
      <c r="Z41" s="1">
        <v>75898</v>
      </c>
      <c r="AA41" s="1">
        <v>6294</v>
      </c>
      <c r="AB41" s="1">
        <v>61466</v>
      </c>
      <c r="AC41" s="1">
        <v>24466</v>
      </c>
      <c r="AD41" s="1">
        <v>74605</v>
      </c>
      <c r="AE41" s="1">
        <v>6510</v>
      </c>
      <c r="AF41" s="1">
        <v>14766</v>
      </c>
      <c r="AG41" s="1">
        <v>156836</v>
      </c>
      <c r="AH41" s="1">
        <f>11976+1491</f>
        <v>13467</v>
      </c>
      <c r="AI41" s="1">
        <f>151358-13580</f>
        <v>137778</v>
      </c>
      <c r="AJ41" s="1">
        <v>22923</v>
      </c>
      <c r="AK41" s="1">
        <v>32833</v>
      </c>
      <c r="AL41" s="1">
        <v>62595</v>
      </c>
      <c r="AM41" s="1">
        <v>19489</v>
      </c>
      <c r="AN41" s="1">
        <f>4299+19133</f>
        <v>23432</v>
      </c>
      <c r="AO41" s="1">
        <v>18395</v>
      </c>
      <c r="AP41" s="1">
        <v>75499</v>
      </c>
      <c r="AQ41" s="1">
        <v>16749</v>
      </c>
      <c r="AR41" s="1">
        <v>30717</v>
      </c>
      <c r="AS41" s="1">
        <v>146646</v>
      </c>
      <c r="AT41" s="41">
        <v>9756</v>
      </c>
      <c r="AU41" s="1">
        <v>43579</v>
      </c>
      <c r="AV41" s="1">
        <v>12544</v>
      </c>
      <c r="AW41" s="1">
        <v>179322</v>
      </c>
      <c r="AX41" s="1">
        <v>3744</v>
      </c>
      <c r="AY41" s="1">
        <v>10380</v>
      </c>
      <c r="AZ41" s="1">
        <v>26209</v>
      </c>
      <c r="BA41" s="1">
        <v>276379</v>
      </c>
      <c r="BB41" s="18">
        <v>158539</v>
      </c>
      <c r="BC41" s="18">
        <v>7812</v>
      </c>
      <c r="BD41" s="1">
        <v>38647</v>
      </c>
      <c r="BE41" s="1">
        <v>25792</v>
      </c>
      <c r="BF41" s="1">
        <v>17229</v>
      </c>
      <c r="BG41" s="1">
        <v>17324</v>
      </c>
      <c r="BH41" s="1">
        <v>135587</v>
      </c>
      <c r="BI41" s="2">
        <v>20131</v>
      </c>
      <c r="BJ41" s="1">
        <v>46130</v>
      </c>
      <c r="BK41" s="1">
        <v>33685</v>
      </c>
      <c r="BL41" s="1">
        <v>142905</v>
      </c>
      <c r="BM41" s="1">
        <v>35412</v>
      </c>
      <c r="BN41" s="1">
        <v>229053</v>
      </c>
      <c r="BO41" s="1">
        <v>97240</v>
      </c>
      <c r="BP41" s="1">
        <v>31956</v>
      </c>
      <c r="BQ41" s="1">
        <v>29591</v>
      </c>
      <c r="BR41" s="1">
        <f>108476-50803</f>
        <v>57673</v>
      </c>
      <c r="BS41" s="1">
        <v>171633</v>
      </c>
      <c r="BT41" s="1">
        <v>16118</v>
      </c>
      <c r="BU41" s="1">
        <v>18050</v>
      </c>
      <c r="BV41" s="1">
        <v>30285</v>
      </c>
      <c r="BW41" s="1">
        <v>89684</v>
      </c>
      <c r="BX41" s="1">
        <v>135638</v>
      </c>
      <c r="BY41" s="1">
        <v>154929</v>
      </c>
      <c r="BZ41" s="1">
        <v>153202</v>
      </c>
      <c r="CA41" s="1">
        <v>19129</v>
      </c>
      <c r="CB41" s="1">
        <v>29617</v>
      </c>
      <c r="CC41" s="1">
        <v>32183</v>
      </c>
      <c r="CD41" s="1">
        <v>140355</v>
      </c>
      <c r="CE41" s="1">
        <v>81111</v>
      </c>
      <c r="CF41" s="1">
        <v>396252</v>
      </c>
      <c r="CG41" s="1">
        <v>33537</v>
      </c>
      <c r="CH41" s="1">
        <v>31109</v>
      </c>
      <c r="CI41" s="1">
        <v>29051</v>
      </c>
      <c r="CJ41" s="1">
        <v>26994</v>
      </c>
      <c r="CK41" s="1">
        <v>20744</v>
      </c>
      <c r="CL41" s="1">
        <v>11273</v>
      </c>
      <c r="CM41" s="1">
        <v>30459</v>
      </c>
      <c r="CN41" s="1">
        <v>27074</v>
      </c>
      <c r="CO41" s="1">
        <v>204336</v>
      </c>
      <c r="CP41" s="1">
        <v>42551</v>
      </c>
      <c r="CQ41" s="1">
        <v>12758</v>
      </c>
      <c r="CR41" s="1">
        <v>171955</v>
      </c>
      <c r="CS41" s="1">
        <v>31147</v>
      </c>
      <c r="CT41" s="1">
        <v>17589</v>
      </c>
      <c r="CU41" s="1">
        <v>94913</v>
      </c>
      <c r="CV41" s="1">
        <v>21635</v>
      </c>
      <c r="CW41" s="1">
        <v>19445</v>
      </c>
      <c r="CX41" s="41">
        <v>19521</v>
      </c>
      <c r="CY41" s="1">
        <v>122578</v>
      </c>
      <c r="CZ41" s="1">
        <v>30663</v>
      </c>
      <c r="DA41" s="1">
        <v>203390</v>
      </c>
      <c r="DB41" s="1">
        <v>37796</v>
      </c>
      <c r="DC41" s="1">
        <v>32999</v>
      </c>
      <c r="DD41" s="1">
        <v>31303</v>
      </c>
      <c r="DE41" s="1">
        <v>61829</v>
      </c>
      <c r="DF41" s="1">
        <v>86925</v>
      </c>
      <c r="DG41" s="1">
        <v>23356</v>
      </c>
      <c r="DH41" s="1">
        <v>341282</v>
      </c>
      <c r="DI41" s="1">
        <v>39799</v>
      </c>
      <c r="DJ41" s="1">
        <v>353207</v>
      </c>
      <c r="DK41" s="1">
        <v>174186</v>
      </c>
      <c r="DL41" s="1">
        <v>233152</v>
      </c>
      <c r="DM41" s="1">
        <v>23438</v>
      </c>
      <c r="DN41" s="1">
        <v>26642</v>
      </c>
      <c r="DO41" s="1">
        <v>67326</v>
      </c>
      <c r="DP41" s="1">
        <v>34858</v>
      </c>
      <c r="DQ41" s="1">
        <v>42710</v>
      </c>
      <c r="DR41" s="1">
        <v>86645</v>
      </c>
      <c r="DS41" s="1">
        <v>59568</v>
      </c>
      <c r="DT41" s="1">
        <v>69682</v>
      </c>
      <c r="DU41" s="1">
        <v>331937</v>
      </c>
      <c r="DV41" s="1">
        <v>104552</v>
      </c>
      <c r="DW41" s="1">
        <v>24814</v>
      </c>
      <c r="DX41" s="1">
        <v>138803</v>
      </c>
      <c r="DY41" s="1">
        <v>123961</v>
      </c>
      <c r="DZ41" s="1">
        <v>61870</v>
      </c>
      <c r="EA41" s="1">
        <v>33087</v>
      </c>
      <c r="EB41" s="1">
        <v>31852</v>
      </c>
      <c r="EC41" s="1">
        <v>23565</v>
      </c>
      <c r="ED41" s="1">
        <v>165896</v>
      </c>
      <c r="EE41" s="1">
        <f>56248+24800</f>
        <v>81048</v>
      </c>
      <c r="EF41" s="1">
        <v>177240</v>
      </c>
      <c r="EG41" s="1">
        <v>40391</v>
      </c>
      <c r="EH41" s="1">
        <v>119213</v>
      </c>
      <c r="EI41" s="1">
        <v>39893</v>
      </c>
      <c r="EJ41" s="1">
        <v>20461</v>
      </c>
      <c r="EK41" s="1">
        <f>501688+2135</f>
        <v>503823</v>
      </c>
      <c r="EL41" s="1">
        <v>115110</v>
      </c>
      <c r="EM41" s="1">
        <v>50053</v>
      </c>
      <c r="EN41" s="1">
        <v>64226</v>
      </c>
      <c r="EO41" s="1">
        <v>50697</v>
      </c>
      <c r="EP41" s="1">
        <v>45699</v>
      </c>
      <c r="EQ41" s="1">
        <v>58907</v>
      </c>
      <c r="ER41" s="1">
        <v>108626</v>
      </c>
      <c r="ES41" s="1">
        <v>149595</v>
      </c>
      <c r="ET41" s="1">
        <v>64459</v>
      </c>
      <c r="EU41" s="1">
        <v>192471</v>
      </c>
      <c r="EV41" s="18">
        <v>95348</v>
      </c>
      <c r="EW41" s="1">
        <v>306412</v>
      </c>
      <c r="EX41" s="1">
        <v>271145</v>
      </c>
      <c r="EY41" s="1">
        <v>34452</v>
      </c>
      <c r="EZ41" s="1">
        <f>259115-44674</f>
        <v>214441</v>
      </c>
      <c r="FA41" s="1">
        <v>52291</v>
      </c>
      <c r="FB41" s="1">
        <v>52099</v>
      </c>
      <c r="FC41" s="1">
        <v>52304</v>
      </c>
      <c r="FD41" s="1">
        <v>328945</v>
      </c>
      <c r="FE41" s="1">
        <v>86399</v>
      </c>
      <c r="FF41" s="1">
        <v>441675</v>
      </c>
      <c r="FG41" s="1">
        <v>219051</v>
      </c>
      <c r="FH41" s="1">
        <f>692932-166205-1230</f>
        <v>525497</v>
      </c>
      <c r="FI41" s="1">
        <v>371380</v>
      </c>
      <c r="FJ41" s="1">
        <v>48844</v>
      </c>
      <c r="FK41" s="2">
        <v>147715</v>
      </c>
      <c r="FL41" s="1">
        <v>208489</v>
      </c>
      <c r="FM41" s="1">
        <v>106822</v>
      </c>
      <c r="FN41" s="1">
        <f>1025745-103140</f>
        <v>922605</v>
      </c>
      <c r="FO41" s="1">
        <f>-624+223483+27593</f>
        <v>250452</v>
      </c>
      <c r="FP41" s="1">
        <v>61581</v>
      </c>
      <c r="FQ41" s="1">
        <v>152348</v>
      </c>
      <c r="FR41" s="1">
        <v>377486</v>
      </c>
      <c r="FS41" s="1">
        <v>638441</v>
      </c>
      <c r="FT41" s="1">
        <v>102675</v>
      </c>
      <c r="FU41" s="1">
        <v>312893</v>
      </c>
      <c r="FV41" s="41">
        <f>564329-349599</f>
        <v>214730</v>
      </c>
      <c r="FW41" s="1">
        <v>133437</v>
      </c>
      <c r="FX41" s="1">
        <v>325432</v>
      </c>
      <c r="FY41" s="1">
        <v>102275</v>
      </c>
      <c r="FZ41" s="1">
        <v>551108</v>
      </c>
      <c r="GA41" s="1">
        <v>148396</v>
      </c>
      <c r="GB41" s="1">
        <v>1197308</v>
      </c>
      <c r="GC41" s="1">
        <v>295785</v>
      </c>
      <c r="GD41" s="1">
        <v>748898</v>
      </c>
      <c r="GE41" s="2">
        <v>342344</v>
      </c>
      <c r="GF41" s="2">
        <v>122825</v>
      </c>
      <c r="GG41" s="1">
        <v>531850</v>
      </c>
      <c r="GH41" s="1">
        <v>73050</v>
      </c>
      <c r="GI41" s="1">
        <v>422033</v>
      </c>
      <c r="GJ41" s="18">
        <v>280982</v>
      </c>
      <c r="GK41" s="1">
        <v>487076</v>
      </c>
      <c r="GL41" s="1">
        <v>177595</v>
      </c>
      <c r="GM41" s="1">
        <v>153137</v>
      </c>
      <c r="GN41" s="1">
        <v>209204</v>
      </c>
      <c r="GO41" s="1">
        <v>877454</v>
      </c>
      <c r="GP41" s="1">
        <v>495945</v>
      </c>
      <c r="GQ41" s="1"/>
    </row>
    <row r="42" spans="1:199" s="2" customFormat="1" ht="15">
      <c r="A42" s="2" t="s">
        <v>26</v>
      </c>
      <c r="B42" s="40"/>
      <c r="C42" s="40"/>
      <c r="D42" s="1">
        <v>9923</v>
      </c>
      <c r="E42" s="1"/>
      <c r="F42" s="1"/>
      <c r="G42" s="1"/>
      <c r="H42" s="1"/>
      <c r="I42" s="1">
        <v>84998</v>
      </c>
      <c r="J42" s="1">
        <v>15691</v>
      </c>
      <c r="K42" s="1">
        <v>19342</v>
      </c>
      <c r="L42" s="1">
        <v>65632</v>
      </c>
      <c r="M42" s="1">
        <v>14185</v>
      </c>
      <c r="N42" s="1">
        <v>26841</v>
      </c>
      <c r="O42" s="1">
        <v>8999</v>
      </c>
      <c r="P42" s="1">
        <v>11958</v>
      </c>
      <c r="Q42" s="1">
        <v>30196</v>
      </c>
      <c r="R42" s="1">
        <v>58903</v>
      </c>
      <c r="S42" s="1">
        <v>8865</v>
      </c>
      <c r="T42" s="1">
        <v>16068</v>
      </c>
      <c r="U42" s="1"/>
      <c r="V42" s="1">
        <v>40602</v>
      </c>
      <c r="W42" s="1">
        <v>31923</v>
      </c>
      <c r="X42" s="1">
        <v>27877</v>
      </c>
      <c r="Y42" s="1">
        <v>17140</v>
      </c>
      <c r="Z42" s="1">
        <v>19309</v>
      </c>
      <c r="AA42" s="1">
        <v>24924</v>
      </c>
      <c r="AB42" s="1">
        <v>36179</v>
      </c>
      <c r="AC42" s="1">
        <v>57065</v>
      </c>
      <c r="AD42" s="1">
        <v>135044</v>
      </c>
      <c r="AE42" s="1">
        <v>21378</v>
      </c>
      <c r="AF42" s="1">
        <f>5144+46165</f>
        <v>51309</v>
      </c>
      <c r="AG42" s="1">
        <v>97246</v>
      </c>
      <c r="AH42" s="1">
        <v>40928</v>
      </c>
      <c r="AI42" s="1">
        <f>200567-79955</f>
        <v>120612</v>
      </c>
      <c r="AJ42" s="1">
        <v>138422</v>
      </c>
      <c r="AK42" s="1">
        <v>40686</v>
      </c>
      <c r="AL42" s="1">
        <v>15447</v>
      </c>
      <c r="AM42" s="1">
        <v>61574</v>
      </c>
      <c r="AN42" s="1">
        <v>23970</v>
      </c>
      <c r="AO42" s="1">
        <v>45828</v>
      </c>
      <c r="AP42" s="1">
        <v>476296</v>
      </c>
      <c r="AQ42" s="1">
        <v>40038</v>
      </c>
      <c r="AR42" s="1">
        <v>22289</v>
      </c>
      <c r="AS42" s="1">
        <v>43985</v>
      </c>
      <c r="AT42" s="41">
        <v>41278</v>
      </c>
      <c r="AU42" s="1">
        <v>18242</v>
      </c>
      <c r="AV42" s="1">
        <v>32304</v>
      </c>
      <c r="AW42" s="1">
        <v>86229</v>
      </c>
      <c r="AX42" s="1">
        <v>22720</v>
      </c>
      <c r="AY42" s="1">
        <v>32750</v>
      </c>
      <c r="AZ42" s="1">
        <v>53998</v>
      </c>
      <c r="BA42" s="1">
        <v>109062</v>
      </c>
      <c r="BB42" s="18">
        <v>75884</v>
      </c>
      <c r="BC42" s="18">
        <v>30958</v>
      </c>
      <c r="BD42" s="1">
        <v>61191</v>
      </c>
      <c r="BE42" s="1">
        <v>33715</v>
      </c>
      <c r="BF42" s="1">
        <v>60889</v>
      </c>
      <c r="BG42" s="1">
        <v>28648</v>
      </c>
      <c r="BH42" s="1">
        <v>86916</v>
      </c>
      <c r="BI42" s="2">
        <v>119931</v>
      </c>
      <c r="BJ42" s="1">
        <v>114647</v>
      </c>
      <c r="BK42" s="1">
        <v>193985</v>
      </c>
      <c r="BL42" s="1">
        <v>91615</v>
      </c>
      <c r="BM42" s="1">
        <v>38350</v>
      </c>
      <c r="BN42" s="1">
        <v>50601</v>
      </c>
      <c r="BO42" s="1">
        <v>64989</v>
      </c>
      <c r="BP42" s="1">
        <v>101544</v>
      </c>
      <c r="BQ42" s="1">
        <v>70344</v>
      </c>
      <c r="BR42" s="1">
        <v>41838</v>
      </c>
      <c r="BS42" s="1">
        <v>72541</v>
      </c>
      <c r="BT42" s="1">
        <v>59993</v>
      </c>
      <c r="BU42" s="1">
        <v>36110</v>
      </c>
      <c r="BV42" s="1">
        <v>37952</v>
      </c>
      <c r="BW42" s="1">
        <v>60469</v>
      </c>
      <c r="BX42" s="1">
        <v>30070</v>
      </c>
      <c r="BY42" s="1">
        <v>104412</v>
      </c>
      <c r="BZ42" s="1">
        <v>66002</v>
      </c>
      <c r="CA42" s="1">
        <v>77946</v>
      </c>
      <c r="CB42" s="1">
        <v>105347</v>
      </c>
      <c r="CC42" s="1">
        <v>64837</v>
      </c>
      <c r="CD42" s="1">
        <v>39860</v>
      </c>
      <c r="CE42" s="1">
        <v>25900</v>
      </c>
      <c r="CF42" s="1">
        <v>28842</v>
      </c>
      <c r="CG42" s="1">
        <v>38738</v>
      </c>
      <c r="CH42" s="1">
        <v>38836</v>
      </c>
      <c r="CI42" s="1">
        <v>90352</v>
      </c>
      <c r="CJ42" s="1">
        <v>62036</v>
      </c>
      <c r="CK42" s="1">
        <v>72701</v>
      </c>
      <c r="CL42" s="1">
        <v>30157</v>
      </c>
      <c r="CM42" s="1">
        <v>65798</v>
      </c>
      <c r="CN42" s="1">
        <v>48829</v>
      </c>
      <c r="CO42" s="1">
        <v>73916</v>
      </c>
      <c r="CP42" s="1">
        <v>97226</v>
      </c>
      <c r="CQ42" s="1">
        <v>72871</v>
      </c>
      <c r="CR42" s="1">
        <v>131536</v>
      </c>
      <c r="CS42" s="1">
        <v>90859</v>
      </c>
      <c r="CT42" s="1">
        <v>58263</v>
      </c>
      <c r="CU42" s="1">
        <v>89606</v>
      </c>
      <c r="CV42" s="1">
        <v>72804</v>
      </c>
      <c r="CW42" s="1">
        <v>49348</v>
      </c>
      <c r="CX42" s="41">
        <v>63699</v>
      </c>
      <c r="CY42" s="1">
        <v>75198</v>
      </c>
      <c r="CZ42" s="1">
        <v>84527</v>
      </c>
      <c r="DA42" s="1">
        <v>208699</v>
      </c>
      <c r="DB42" s="1">
        <v>127444</v>
      </c>
      <c r="DC42" s="1">
        <v>55709</v>
      </c>
      <c r="DD42" s="1">
        <v>71440</v>
      </c>
      <c r="DE42" s="1">
        <v>104762</v>
      </c>
      <c r="DF42" s="1">
        <v>43622</v>
      </c>
      <c r="DG42" s="1">
        <v>80705</v>
      </c>
      <c r="DH42" s="1">
        <v>219951</v>
      </c>
      <c r="DI42" s="1">
        <v>124272</v>
      </c>
      <c r="DJ42" s="1">
        <v>147982</v>
      </c>
      <c r="DK42" s="1">
        <v>71753</v>
      </c>
      <c r="DL42" s="1">
        <v>127286</v>
      </c>
      <c r="DM42" s="1">
        <v>97849</v>
      </c>
      <c r="DN42" s="1">
        <v>62025</v>
      </c>
      <c r="DO42" s="1">
        <v>154645</v>
      </c>
      <c r="DP42" s="1">
        <v>111342</v>
      </c>
      <c r="DQ42" s="1">
        <v>73135</v>
      </c>
      <c r="DR42" s="1">
        <v>55437</v>
      </c>
      <c r="DS42" s="1">
        <v>113071</v>
      </c>
      <c r="DT42" s="1">
        <v>90402</v>
      </c>
      <c r="DU42" s="1">
        <v>70923</v>
      </c>
      <c r="DV42" s="1">
        <v>55757</v>
      </c>
      <c r="DW42" s="1">
        <v>50071</v>
      </c>
      <c r="DX42" s="1">
        <v>309545</v>
      </c>
      <c r="DY42" s="1">
        <v>88248</v>
      </c>
      <c r="DZ42" s="1">
        <v>55263</v>
      </c>
      <c r="EA42" s="1">
        <v>93289</v>
      </c>
      <c r="EB42" s="1">
        <v>60566</v>
      </c>
      <c r="EC42" s="1">
        <v>150510</v>
      </c>
      <c r="ED42" s="1">
        <v>114687</v>
      </c>
      <c r="EE42" s="1">
        <v>50540</v>
      </c>
      <c r="EF42" s="1">
        <v>71291</v>
      </c>
      <c r="EG42" s="1">
        <v>92181</v>
      </c>
      <c r="EH42" s="1">
        <v>85250</v>
      </c>
      <c r="EI42" s="1">
        <v>96707</v>
      </c>
      <c r="EJ42" s="1">
        <v>32598</v>
      </c>
      <c r="EK42" s="1">
        <f>152427+265029</f>
        <v>417456</v>
      </c>
      <c r="EL42" s="1">
        <v>96336</v>
      </c>
      <c r="EM42" s="1">
        <v>120361</v>
      </c>
      <c r="EN42" s="1">
        <v>145923</v>
      </c>
      <c r="EO42" s="1">
        <v>100368</v>
      </c>
      <c r="EP42" s="1">
        <v>140147</v>
      </c>
      <c r="EQ42" s="1">
        <v>137799</v>
      </c>
      <c r="ER42" s="1">
        <v>103754</v>
      </c>
      <c r="ES42" s="1">
        <v>117823</v>
      </c>
      <c r="ET42" s="1">
        <v>112407</v>
      </c>
      <c r="EU42" s="1">
        <v>96135</v>
      </c>
      <c r="EV42" s="18">
        <v>144999</v>
      </c>
      <c r="EW42" s="1">
        <v>130048</v>
      </c>
      <c r="EX42" s="1">
        <v>100726</v>
      </c>
      <c r="EY42" s="1">
        <v>74849</v>
      </c>
      <c r="EZ42" s="1">
        <v>44674</v>
      </c>
      <c r="FA42" s="1">
        <v>125657</v>
      </c>
      <c r="FB42" s="1">
        <v>129287</v>
      </c>
      <c r="FC42" s="1">
        <v>94382</v>
      </c>
      <c r="FD42" s="1">
        <v>393142</v>
      </c>
      <c r="FE42" s="1">
        <v>184876</v>
      </c>
      <c r="FF42" s="2">
        <v>526447</v>
      </c>
      <c r="FG42" s="2">
        <v>328579</v>
      </c>
      <c r="FH42" s="2">
        <f>166205+1230</f>
        <v>167435</v>
      </c>
      <c r="FI42" s="2">
        <v>187944</v>
      </c>
      <c r="FJ42" s="1">
        <v>111298</v>
      </c>
      <c r="FK42" s="2">
        <v>102763</v>
      </c>
      <c r="FL42" s="1">
        <v>46264</v>
      </c>
      <c r="FM42" s="1">
        <v>161557</v>
      </c>
      <c r="FN42" s="1">
        <v>103140</v>
      </c>
      <c r="FO42" s="1">
        <v>71066</v>
      </c>
      <c r="FP42" s="1">
        <v>134682</v>
      </c>
      <c r="FQ42" s="42">
        <v>240450</v>
      </c>
      <c r="FR42" s="42">
        <v>140362</v>
      </c>
      <c r="FS42" s="1">
        <v>583497</v>
      </c>
      <c r="FT42" s="1">
        <v>302256</v>
      </c>
      <c r="FU42" s="1">
        <v>155763</v>
      </c>
      <c r="FV42" s="41">
        <v>272811</v>
      </c>
      <c r="FW42" s="1">
        <v>165892</v>
      </c>
      <c r="FX42" s="1">
        <v>448799</v>
      </c>
      <c r="FY42" s="1">
        <v>189825</v>
      </c>
      <c r="FZ42" s="1">
        <v>354940</v>
      </c>
      <c r="GA42" s="1">
        <v>297636</v>
      </c>
      <c r="GB42" s="1">
        <v>572959</v>
      </c>
      <c r="GC42" s="1">
        <v>534742</v>
      </c>
      <c r="GD42" s="1">
        <v>401371</v>
      </c>
      <c r="GE42" s="2">
        <v>567023</v>
      </c>
      <c r="GF42" s="2">
        <v>213920</v>
      </c>
      <c r="GG42" s="1">
        <v>307851</v>
      </c>
      <c r="GH42" s="1">
        <v>260555</v>
      </c>
      <c r="GI42" s="1">
        <v>269760</v>
      </c>
      <c r="GJ42" s="18">
        <v>443844</v>
      </c>
      <c r="GK42" s="1">
        <v>566759</v>
      </c>
      <c r="GL42" s="1">
        <v>320813</v>
      </c>
      <c r="GM42" s="1">
        <v>254147</v>
      </c>
      <c r="GN42" s="2">
        <v>409297</v>
      </c>
      <c r="GO42" s="1">
        <v>626478</v>
      </c>
      <c r="GP42" s="1">
        <v>698278</v>
      </c>
      <c r="GQ42" s="1"/>
    </row>
    <row r="43" spans="1:199" s="2" customFormat="1" ht="15">
      <c r="A43" s="2" t="s">
        <v>27</v>
      </c>
      <c r="B43" s="40">
        <v>2275</v>
      </c>
      <c r="C43" s="40">
        <v>3745</v>
      </c>
      <c r="D43" s="1">
        <v>7695</v>
      </c>
      <c r="E43" s="1">
        <v>2499</v>
      </c>
      <c r="F43" s="1">
        <v>3510</v>
      </c>
      <c r="G43" s="1">
        <v>15050</v>
      </c>
      <c r="H43" s="1">
        <v>4418</v>
      </c>
      <c r="I43" s="1">
        <v>28057</v>
      </c>
      <c r="J43" s="1">
        <v>15943</v>
      </c>
      <c r="K43" s="1">
        <v>17686</v>
      </c>
      <c r="L43" s="1">
        <v>21525</v>
      </c>
      <c r="M43" s="1">
        <v>8950</v>
      </c>
      <c r="N43" s="1">
        <v>10474</v>
      </c>
      <c r="O43" s="1">
        <v>14554</v>
      </c>
      <c r="P43" s="1">
        <v>19744</v>
      </c>
      <c r="Q43" s="1">
        <v>41118</v>
      </c>
      <c r="R43" s="1">
        <v>27386</v>
      </c>
      <c r="S43" s="1">
        <v>17366</v>
      </c>
      <c r="T43" s="1">
        <v>31075</v>
      </c>
      <c r="U43" s="1">
        <v>9095</v>
      </c>
      <c r="V43" s="1">
        <v>18746</v>
      </c>
      <c r="W43" s="1">
        <v>14334</v>
      </c>
      <c r="X43" s="1">
        <v>14590</v>
      </c>
      <c r="Y43" s="1">
        <v>4274</v>
      </c>
      <c r="Z43" s="1">
        <v>19093</v>
      </c>
      <c r="AA43" s="1">
        <v>15061</v>
      </c>
      <c r="AB43" s="1">
        <v>16710</v>
      </c>
      <c r="AC43" s="1">
        <v>25121</v>
      </c>
      <c r="AD43" s="1">
        <v>22020</v>
      </c>
      <c r="AE43" s="1">
        <v>19109</v>
      </c>
      <c r="AF43" s="1">
        <v>26098</v>
      </c>
      <c r="AG43" s="1">
        <v>47866</v>
      </c>
      <c r="AH43" s="1">
        <v>21874</v>
      </c>
      <c r="AI43" s="1">
        <f>105053-63477</f>
        <v>41576</v>
      </c>
      <c r="AJ43" s="1">
        <v>30762</v>
      </c>
      <c r="AK43" s="1">
        <v>26417</v>
      </c>
      <c r="AL43" s="1">
        <v>24864</v>
      </c>
      <c r="AM43" s="1">
        <v>41226</v>
      </c>
      <c r="AN43" s="1">
        <v>19426</v>
      </c>
      <c r="AO43" s="1">
        <v>26458</v>
      </c>
      <c r="AP43" s="1">
        <v>42480</v>
      </c>
      <c r="AQ43" s="1">
        <v>29499</v>
      </c>
      <c r="AR43" s="1">
        <v>14009</v>
      </c>
      <c r="AS43" s="1">
        <v>25305</v>
      </c>
      <c r="AT43" s="41">
        <v>38604</v>
      </c>
      <c r="AU43" s="1">
        <v>18560</v>
      </c>
      <c r="AV43" s="1">
        <v>13427</v>
      </c>
      <c r="AW43" s="1">
        <v>60815</v>
      </c>
      <c r="AX43" s="1">
        <v>16546</v>
      </c>
      <c r="AY43" s="1">
        <v>37014</v>
      </c>
      <c r="AZ43" s="1">
        <v>42627</v>
      </c>
      <c r="BA43" s="1">
        <v>43207</v>
      </c>
      <c r="BB43" s="18">
        <v>30038</v>
      </c>
      <c r="BC43" s="18">
        <v>23860</v>
      </c>
      <c r="BD43" s="1">
        <v>22076</v>
      </c>
      <c r="BE43" s="1">
        <v>29613</v>
      </c>
      <c r="BF43" s="1">
        <v>27335</v>
      </c>
      <c r="BG43" s="1">
        <v>26861</v>
      </c>
      <c r="BH43" s="1">
        <v>39661</v>
      </c>
      <c r="BI43" s="2">
        <v>23099</v>
      </c>
      <c r="BJ43" s="1">
        <v>56621</v>
      </c>
      <c r="BK43" s="1">
        <v>48977</v>
      </c>
      <c r="BL43" s="1">
        <v>40046</v>
      </c>
      <c r="BM43" s="1">
        <v>12791</v>
      </c>
      <c r="BN43" s="1">
        <v>44353</v>
      </c>
      <c r="BO43" s="1">
        <v>42543</v>
      </c>
      <c r="BP43" s="1">
        <v>49212</v>
      </c>
      <c r="BQ43" s="1">
        <v>44324</v>
      </c>
      <c r="BR43" s="1">
        <v>52923</v>
      </c>
      <c r="BS43" s="1">
        <v>65416</v>
      </c>
      <c r="BT43" s="1">
        <v>24178</v>
      </c>
      <c r="BU43" s="1">
        <v>30767</v>
      </c>
      <c r="BV43" s="1">
        <v>32082</v>
      </c>
      <c r="BW43" s="1">
        <v>24168</v>
      </c>
      <c r="BX43" s="1">
        <v>40889</v>
      </c>
      <c r="BY43" s="1">
        <v>54983</v>
      </c>
      <c r="BZ43" s="1">
        <v>65548</v>
      </c>
      <c r="CA43" s="1">
        <v>36942</v>
      </c>
      <c r="CB43" s="1">
        <v>50749</v>
      </c>
      <c r="CC43" s="1">
        <v>93709</v>
      </c>
      <c r="CD43" s="1">
        <v>50180</v>
      </c>
      <c r="CE43" s="1">
        <v>67934</v>
      </c>
      <c r="CF43" s="1">
        <v>67736</v>
      </c>
      <c r="CG43" s="1">
        <v>45963</v>
      </c>
      <c r="CH43" s="1">
        <v>25610</v>
      </c>
      <c r="CI43" s="1">
        <v>68202</v>
      </c>
      <c r="CJ43" s="1">
        <v>48968</v>
      </c>
      <c r="CK43" s="1">
        <v>58950</v>
      </c>
      <c r="CL43" s="1">
        <v>17305</v>
      </c>
      <c r="CM43" s="1">
        <v>36745</v>
      </c>
      <c r="CN43" s="1">
        <v>41237</v>
      </c>
      <c r="CO43" s="1">
        <v>62049</v>
      </c>
      <c r="CP43" s="1">
        <v>76366</v>
      </c>
      <c r="CQ43" s="1">
        <v>58666</v>
      </c>
      <c r="CR43" s="1">
        <v>68052</v>
      </c>
      <c r="CS43" s="1">
        <v>83090</v>
      </c>
      <c r="CT43" s="1">
        <v>34219</v>
      </c>
      <c r="CU43" s="1">
        <v>41208</v>
      </c>
      <c r="CV43" s="1">
        <v>40873</v>
      </c>
      <c r="CW43" s="1">
        <v>23376</v>
      </c>
      <c r="CX43" s="41">
        <v>50647</v>
      </c>
      <c r="CY43" s="1">
        <v>68457</v>
      </c>
      <c r="CZ43" s="1">
        <v>41590</v>
      </c>
      <c r="DA43" s="1">
        <v>76614</v>
      </c>
      <c r="DB43" s="1">
        <f>108786-32626</f>
        <v>76160</v>
      </c>
      <c r="DC43" s="1">
        <f>96824-63083</f>
        <v>33741</v>
      </c>
      <c r="DD43" s="1">
        <v>56842</v>
      </c>
      <c r="DE43" s="1">
        <v>70371</v>
      </c>
      <c r="DF43" s="1">
        <v>31822</v>
      </c>
      <c r="DG43" s="1">
        <v>60998</v>
      </c>
      <c r="DH43" s="1">
        <v>122660</v>
      </c>
      <c r="DI43" s="1">
        <v>60319</v>
      </c>
      <c r="DJ43" s="1">
        <v>110135</v>
      </c>
      <c r="DK43" s="1">
        <v>49105</v>
      </c>
      <c r="DL43" s="1">
        <v>81716</v>
      </c>
      <c r="DM43" s="1">
        <v>76274</v>
      </c>
      <c r="DN43" s="1">
        <v>42279</v>
      </c>
      <c r="DO43" s="1">
        <v>92344</v>
      </c>
      <c r="DP43" s="1">
        <v>45679</v>
      </c>
      <c r="DQ43" s="1">
        <v>60579</v>
      </c>
      <c r="DR43" s="1">
        <v>61067</v>
      </c>
      <c r="DS43" s="1">
        <v>79649</v>
      </c>
      <c r="DT43" s="1">
        <v>71201</v>
      </c>
      <c r="DU43" s="1">
        <v>59263</v>
      </c>
      <c r="DV43" s="1">
        <v>24449</v>
      </c>
      <c r="DW43" s="1">
        <v>47607</v>
      </c>
      <c r="DX43" s="1">
        <v>73968</v>
      </c>
      <c r="DY43" s="1">
        <v>87370</v>
      </c>
      <c r="DZ43" s="1">
        <v>61109</v>
      </c>
      <c r="EA43" s="1">
        <v>44001</v>
      </c>
      <c r="EB43" s="1">
        <v>47925</v>
      </c>
      <c r="EC43" s="1">
        <v>61201</v>
      </c>
      <c r="ED43" s="1">
        <v>52227</v>
      </c>
      <c r="EE43" s="1">
        <v>57841</v>
      </c>
      <c r="EF43" s="1">
        <v>53559</v>
      </c>
      <c r="EG43" s="1">
        <v>73960</v>
      </c>
      <c r="EH43" s="1">
        <f>69495-11667</f>
        <v>57828</v>
      </c>
      <c r="EI43" s="1">
        <v>61279</v>
      </c>
      <c r="EJ43" s="1">
        <v>40349</v>
      </c>
      <c r="EK43" s="1">
        <v>137393</v>
      </c>
      <c r="EL43" s="1">
        <f>136270-23887</f>
        <v>112383</v>
      </c>
      <c r="EM43" s="1">
        <v>79315</v>
      </c>
      <c r="EN43" s="1">
        <v>121916</v>
      </c>
      <c r="EO43" s="1">
        <v>76578</v>
      </c>
      <c r="EP43" s="1">
        <v>70516</v>
      </c>
      <c r="EQ43" s="1">
        <f>122116-20301</f>
        <v>101815</v>
      </c>
      <c r="ER43" s="1">
        <v>126603</v>
      </c>
      <c r="ES43" s="1">
        <v>129249</v>
      </c>
      <c r="ET43" s="1">
        <v>116675</v>
      </c>
      <c r="EU43" s="1">
        <v>111071</v>
      </c>
      <c r="EV43" s="18">
        <v>96236</v>
      </c>
      <c r="EW43" s="1">
        <v>115702</v>
      </c>
      <c r="EX43" s="1">
        <v>110937</v>
      </c>
      <c r="EY43" s="1">
        <v>108966</v>
      </c>
      <c r="EZ43" s="1">
        <v>105338</v>
      </c>
      <c r="FA43" s="1">
        <v>89295</v>
      </c>
      <c r="FB43" s="1">
        <v>119455</v>
      </c>
      <c r="FC43" s="1">
        <v>103606</v>
      </c>
      <c r="FD43" s="1">
        <f>237807-38996</f>
        <v>198811</v>
      </c>
      <c r="FE43" s="1">
        <v>156734</v>
      </c>
      <c r="FF43" s="1">
        <v>239449</v>
      </c>
      <c r="FG43" s="1">
        <v>153887</v>
      </c>
      <c r="FH43" s="1">
        <v>239599</v>
      </c>
      <c r="FI43" s="1">
        <f>107149-21184</f>
        <v>85965</v>
      </c>
      <c r="FJ43" s="1">
        <v>166029</v>
      </c>
      <c r="FK43" s="2">
        <v>98077</v>
      </c>
      <c r="FL43" s="1">
        <v>95773</v>
      </c>
      <c r="FM43" s="1">
        <v>185109</v>
      </c>
      <c r="FN43" s="1">
        <f>126033-6743</f>
        <v>119290</v>
      </c>
      <c r="FO43" s="1">
        <v>144073</v>
      </c>
      <c r="FP43" s="1">
        <v>123357</v>
      </c>
      <c r="FQ43" s="1">
        <v>144956</v>
      </c>
      <c r="FR43" s="1">
        <v>135294</v>
      </c>
      <c r="FS43" s="1">
        <v>288071</v>
      </c>
      <c r="FT43" s="1">
        <f>179001-1500</f>
        <v>177501</v>
      </c>
      <c r="FU43" s="1">
        <v>178945</v>
      </c>
      <c r="FV43" s="41">
        <v>186921</v>
      </c>
      <c r="FW43" s="1">
        <v>152107</v>
      </c>
      <c r="FX43" s="1">
        <v>331409</v>
      </c>
      <c r="FY43" s="1">
        <v>132403</v>
      </c>
      <c r="FZ43" s="1">
        <v>403761</v>
      </c>
      <c r="GA43" s="1">
        <v>161377</v>
      </c>
      <c r="GB43" s="1">
        <v>187998</v>
      </c>
      <c r="GC43" s="1">
        <v>254579</v>
      </c>
      <c r="GD43" s="1">
        <v>478172</v>
      </c>
      <c r="GE43" s="2">
        <v>403498</v>
      </c>
      <c r="GF43" s="2">
        <v>217745</v>
      </c>
      <c r="GG43" s="1">
        <v>437643</v>
      </c>
      <c r="GH43" s="1">
        <v>259056</v>
      </c>
      <c r="GI43" s="1">
        <v>259024</v>
      </c>
      <c r="GJ43" s="18">
        <v>189049</v>
      </c>
      <c r="GK43" s="1">
        <v>366446</v>
      </c>
      <c r="GL43" s="1">
        <v>349014</v>
      </c>
      <c r="GM43" s="1">
        <v>321103</v>
      </c>
      <c r="GN43" s="1">
        <v>417244</v>
      </c>
      <c r="GO43" s="1">
        <v>450764</v>
      </c>
      <c r="GP43" s="1">
        <v>665898</v>
      </c>
      <c r="GQ43" s="1"/>
    </row>
    <row r="44" spans="1:199" s="2" customFormat="1" ht="15">
      <c r="A44" s="2" t="s">
        <v>4</v>
      </c>
      <c r="B44" s="40"/>
      <c r="C44" s="40">
        <v>2551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>
        <v>9796</v>
      </c>
      <c r="AT44" s="41"/>
      <c r="AU44" s="1"/>
      <c r="AV44" s="1"/>
      <c r="AW44" s="1"/>
      <c r="AY44" s="1"/>
      <c r="AZ44" s="1"/>
      <c r="BA44" s="1"/>
      <c r="BB44" s="18"/>
      <c r="BC44" s="18"/>
      <c r="BD44" s="1"/>
      <c r="BE44" s="1"/>
      <c r="BF44" s="1"/>
      <c r="BG44" s="1">
        <v>4323</v>
      </c>
      <c r="BH44" s="1"/>
      <c r="BJ44" s="1"/>
      <c r="BK44" s="1"/>
      <c r="BL44" s="1">
        <v>44525</v>
      </c>
      <c r="BM44" s="1"/>
      <c r="BN44" s="1"/>
      <c r="BO44" s="1"/>
      <c r="BP44" s="1" t="s">
        <v>50</v>
      </c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>
        <v>59630</v>
      </c>
      <c r="CO44" s="1"/>
      <c r="CP44" s="1"/>
      <c r="CQ44" s="1"/>
      <c r="CR44" s="1"/>
      <c r="CS44" s="1"/>
      <c r="CT44" s="1"/>
      <c r="CU44" s="1">
        <v>48878</v>
      </c>
      <c r="CV44" s="1"/>
      <c r="CW44" s="1"/>
      <c r="CX44" s="4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>
        <v>97870</v>
      </c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>
        <v>100926</v>
      </c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8"/>
      <c r="EW44" s="1"/>
      <c r="EX44" s="1"/>
      <c r="EY44" s="1"/>
      <c r="EZ44" s="1"/>
      <c r="FA44" s="1"/>
      <c r="FB44" s="1"/>
      <c r="FC44" s="1"/>
      <c r="FD44" s="1"/>
      <c r="FE44" s="1">
        <v>72369</v>
      </c>
      <c r="FF44" s="1"/>
      <c r="FG44" s="1"/>
      <c r="FH44" s="1"/>
      <c r="FI44" s="1"/>
      <c r="FJ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41"/>
      <c r="FW44" s="1"/>
      <c r="FX44" s="1"/>
      <c r="FY44" s="1"/>
      <c r="FZ44" s="1"/>
      <c r="GA44" s="1"/>
      <c r="GB44" s="1"/>
      <c r="GG44" s="1"/>
      <c r="GH44" s="1"/>
      <c r="GI44" s="1"/>
      <c r="GJ44" s="18"/>
      <c r="GK44" s="1"/>
      <c r="GL44" s="1"/>
      <c r="GM44" s="1"/>
      <c r="GN44" s="1"/>
      <c r="GO44" s="1">
        <v>4367</v>
      </c>
      <c r="GP44" s="1"/>
      <c r="GQ44" s="1"/>
    </row>
    <row r="45" spans="1:199" s="2" customFormat="1" ht="15">
      <c r="A45" s="2" t="s">
        <v>28</v>
      </c>
      <c r="B45" s="40">
        <v>304</v>
      </c>
      <c r="C45" s="40">
        <v>4704</v>
      </c>
      <c r="D45" s="1">
        <v>1190</v>
      </c>
      <c r="E45" s="1">
        <v>110</v>
      </c>
      <c r="F45" s="1"/>
      <c r="G45" s="1">
        <v>1448</v>
      </c>
      <c r="H45" s="1">
        <v>856</v>
      </c>
      <c r="I45" s="1">
        <v>1785</v>
      </c>
      <c r="J45" s="1">
        <v>6594</v>
      </c>
      <c r="K45" s="1">
        <v>9647</v>
      </c>
      <c r="L45" s="1">
        <v>36714</v>
      </c>
      <c r="M45" s="1">
        <v>4353</v>
      </c>
      <c r="N45" s="1">
        <f>47+2281</f>
        <v>2328</v>
      </c>
      <c r="O45" s="1">
        <v>4250</v>
      </c>
      <c r="P45" s="1">
        <v>1669</v>
      </c>
      <c r="Q45" s="1">
        <v>13827</v>
      </c>
      <c r="R45" s="1">
        <v>3177</v>
      </c>
      <c r="S45" s="1">
        <v>4574</v>
      </c>
      <c r="T45" s="1">
        <v>883</v>
      </c>
      <c r="U45" s="1">
        <v>154</v>
      </c>
      <c r="V45" s="1">
        <v>11782</v>
      </c>
      <c r="W45" s="1">
        <v>2224</v>
      </c>
      <c r="X45" s="1">
        <v>5167</v>
      </c>
      <c r="Y45" s="1">
        <v>3415</v>
      </c>
      <c r="Z45" s="1">
        <v>9849</v>
      </c>
      <c r="AA45" s="1">
        <v>9985</v>
      </c>
      <c r="AB45" s="1">
        <v>21188</v>
      </c>
      <c r="AC45" s="1">
        <v>24212</v>
      </c>
      <c r="AD45" s="1">
        <v>16302</v>
      </c>
      <c r="AE45" s="1">
        <v>2849</v>
      </c>
      <c r="AF45" s="1">
        <f>14214+109</f>
        <v>14323</v>
      </c>
      <c r="AG45" s="1">
        <v>21220</v>
      </c>
      <c r="AH45" s="1">
        <v>12945</v>
      </c>
      <c r="AI45" s="1">
        <v>10539</v>
      </c>
      <c r="AJ45" s="1">
        <v>34520</v>
      </c>
      <c r="AK45" s="1">
        <v>13151</v>
      </c>
      <c r="AL45" s="1">
        <v>6789</v>
      </c>
      <c r="AM45" s="1">
        <v>9356</v>
      </c>
      <c r="AN45" s="1">
        <v>3678</v>
      </c>
      <c r="AO45" s="1">
        <v>12559</v>
      </c>
      <c r="AP45" s="1">
        <v>64133</v>
      </c>
      <c r="AQ45" s="1">
        <v>12039</v>
      </c>
      <c r="AR45" s="1">
        <v>8997</v>
      </c>
      <c r="AS45" s="1">
        <v>17027</v>
      </c>
      <c r="AT45" s="41">
        <v>6291</v>
      </c>
      <c r="AU45" s="1">
        <v>9764</v>
      </c>
      <c r="AV45" s="1">
        <v>4864</v>
      </c>
      <c r="AW45" s="1">
        <v>3480</v>
      </c>
      <c r="AX45" s="1">
        <v>1226</v>
      </c>
      <c r="AY45" s="1">
        <v>11724</v>
      </c>
      <c r="AZ45" s="1">
        <v>11783</v>
      </c>
      <c r="BA45" s="1">
        <v>39572</v>
      </c>
      <c r="BB45" s="18">
        <v>38708</v>
      </c>
      <c r="BC45" s="18">
        <v>7704</v>
      </c>
      <c r="BD45" s="1">
        <v>7644</v>
      </c>
      <c r="BE45" s="1">
        <v>18817</v>
      </c>
      <c r="BF45" s="1">
        <v>3181</v>
      </c>
      <c r="BG45" s="1">
        <v>7089</v>
      </c>
      <c r="BH45" s="1">
        <v>12124</v>
      </c>
      <c r="BI45" s="2">
        <v>5665</v>
      </c>
      <c r="BJ45" s="1">
        <v>18483</v>
      </c>
      <c r="BK45" s="1">
        <v>30424</v>
      </c>
      <c r="BL45" s="1">
        <v>16259</v>
      </c>
      <c r="BM45" s="1">
        <v>6066</v>
      </c>
      <c r="BN45" s="1">
        <v>10071</v>
      </c>
      <c r="BO45" s="1">
        <v>15904</v>
      </c>
      <c r="BP45" s="1">
        <v>11449</v>
      </c>
      <c r="BQ45" s="1">
        <v>10286</v>
      </c>
      <c r="BR45" s="1">
        <v>27988</v>
      </c>
      <c r="BS45" s="1">
        <v>26586</v>
      </c>
      <c r="BT45" s="1">
        <v>17219</v>
      </c>
      <c r="BU45" s="1">
        <v>9250</v>
      </c>
      <c r="BV45" s="1">
        <v>26825</v>
      </c>
      <c r="BW45" s="1">
        <v>13322</v>
      </c>
      <c r="BX45" s="1">
        <v>19884</v>
      </c>
      <c r="BY45" s="1">
        <v>22127</v>
      </c>
      <c r="BZ45" s="1">
        <v>30953</v>
      </c>
      <c r="CA45" s="1">
        <v>11563</v>
      </c>
      <c r="CB45" s="1">
        <v>56015</v>
      </c>
      <c r="CC45" s="1">
        <v>13414</v>
      </c>
      <c r="CD45" s="1">
        <v>7117</v>
      </c>
      <c r="CE45" s="1">
        <v>27273</v>
      </c>
      <c r="CF45" s="1">
        <v>29293</v>
      </c>
      <c r="CG45" s="1">
        <v>8871</v>
      </c>
      <c r="CH45" s="1">
        <v>8802</v>
      </c>
      <c r="CI45" s="1">
        <v>23543</v>
      </c>
      <c r="CJ45" s="1">
        <v>22543</v>
      </c>
      <c r="CK45" s="1">
        <v>20162</v>
      </c>
      <c r="CL45" s="1">
        <v>9912</v>
      </c>
      <c r="CM45" s="1">
        <v>10374</v>
      </c>
      <c r="CN45" s="1">
        <v>17340</v>
      </c>
      <c r="CO45" s="1">
        <v>16133</v>
      </c>
      <c r="CP45" s="1">
        <v>42278</v>
      </c>
      <c r="CQ45" s="1">
        <v>10244</v>
      </c>
      <c r="CR45" s="1">
        <v>29417</v>
      </c>
      <c r="CS45" s="1">
        <v>9545</v>
      </c>
      <c r="CT45" s="1">
        <v>7579</v>
      </c>
      <c r="CU45" s="1">
        <v>12513</v>
      </c>
      <c r="CV45" s="1">
        <v>25271</v>
      </c>
      <c r="CW45" s="1">
        <v>4367</v>
      </c>
      <c r="CX45" s="41">
        <v>10920</v>
      </c>
      <c r="CY45" s="1">
        <v>61357</v>
      </c>
      <c r="CZ45" s="1">
        <v>21298</v>
      </c>
      <c r="DA45" s="1">
        <v>18853</v>
      </c>
      <c r="DB45" s="1">
        <v>14266</v>
      </c>
      <c r="DC45" s="1">
        <v>33851</v>
      </c>
      <c r="DD45" s="1">
        <v>14302</v>
      </c>
      <c r="DE45" s="1">
        <v>29541</v>
      </c>
      <c r="DF45" s="1">
        <v>24123</v>
      </c>
      <c r="DG45" s="1">
        <v>23006</v>
      </c>
      <c r="DH45" s="1">
        <f>15416+3542+10</f>
        <v>18968</v>
      </c>
      <c r="DI45" s="1">
        <v>18700</v>
      </c>
      <c r="DJ45" s="1">
        <v>50658</v>
      </c>
      <c r="DK45" s="1">
        <v>30499</v>
      </c>
      <c r="DL45" s="1">
        <v>40115</v>
      </c>
      <c r="DM45" s="1">
        <v>48438</v>
      </c>
      <c r="DN45" s="1">
        <v>14074</v>
      </c>
      <c r="DO45" s="1">
        <v>28291</v>
      </c>
      <c r="DP45" s="1">
        <v>43473</v>
      </c>
      <c r="DQ45" s="1">
        <v>26657</v>
      </c>
      <c r="DR45" s="1">
        <v>19618</v>
      </c>
      <c r="DS45" s="1">
        <v>28522</v>
      </c>
      <c r="DT45" s="1">
        <v>16052</v>
      </c>
      <c r="DU45" s="1">
        <v>38522</v>
      </c>
      <c r="DV45" s="1">
        <v>14313</v>
      </c>
      <c r="DW45" s="1">
        <v>26046</v>
      </c>
      <c r="DX45" s="1">
        <v>50055</v>
      </c>
      <c r="DY45" s="1">
        <v>12959</v>
      </c>
      <c r="DZ45" s="1">
        <v>13761</v>
      </c>
      <c r="EA45" s="1">
        <v>15655</v>
      </c>
      <c r="EB45" s="1">
        <v>17377</v>
      </c>
      <c r="EC45" s="1">
        <v>15562</v>
      </c>
      <c r="ED45" s="1">
        <v>9555</v>
      </c>
      <c r="EE45" s="1">
        <v>19044</v>
      </c>
      <c r="EF45" s="1">
        <v>10673</v>
      </c>
      <c r="EG45" s="1">
        <v>3956</v>
      </c>
      <c r="EH45" s="1">
        <v>30263</v>
      </c>
      <c r="EI45" s="1">
        <v>41292</v>
      </c>
      <c r="EJ45" s="1">
        <v>18467</v>
      </c>
      <c r="EK45" s="1">
        <v>109020</v>
      </c>
      <c r="EL45" s="1">
        <v>44497</v>
      </c>
      <c r="EM45" s="1">
        <v>25267</v>
      </c>
      <c r="EN45" s="1">
        <v>19923</v>
      </c>
      <c r="EO45" s="1">
        <v>12594</v>
      </c>
      <c r="EP45" s="1">
        <v>26969</v>
      </c>
      <c r="EQ45" s="1">
        <v>14603</v>
      </c>
      <c r="ER45" s="1">
        <v>33108</v>
      </c>
      <c r="ES45" s="1">
        <v>27888</v>
      </c>
      <c r="ET45" s="1">
        <v>11316</v>
      </c>
      <c r="EU45" s="1">
        <v>30583</v>
      </c>
      <c r="EV45" s="18">
        <v>43307</v>
      </c>
      <c r="EW45" s="1">
        <v>14089</v>
      </c>
      <c r="EX45" s="1">
        <v>51867</v>
      </c>
      <c r="EY45" s="1">
        <v>65303</v>
      </c>
      <c r="EZ45" s="1">
        <v>59396</v>
      </c>
      <c r="FA45" s="1">
        <v>43718</v>
      </c>
      <c r="FB45" s="1">
        <v>45345</v>
      </c>
      <c r="FC45" s="1">
        <v>31935</v>
      </c>
      <c r="FD45" s="1">
        <v>27072</v>
      </c>
      <c r="FE45" s="1">
        <v>37439</v>
      </c>
      <c r="FF45" s="1">
        <v>30593</v>
      </c>
      <c r="FG45" s="1">
        <v>33716</v>
      </c>
      <c r="FH45" s="1">
        <v>80527</v>
      </c>
      <c r="FI45" s="1">
        <v>43507</v>
      </c>
      <c r="FJ45" s="1">
        <v>39417</v>
      </c>
      <c r="FK45" s="2">
        <f>32121+22085</f>
        <v>54206</v>
      </c>
      <c r="FL45" s="1">
        <v>57955</v>
      </c>
      <c r="FM45" s="1">
        <v>8250</v>
      </c>
      <c r="FN45" s="1">
        <f>97034+18501</f>
        <v>115535</v>
      </c>
      <c r="FO45" s="1">
        <v>60706</v>
      </c>
      <c r="FP45" s="1">
        <v>23763</v>
      </c>
      <c r="FQ45" s="1">
        <v>65820</v>
      </c>
      <c r="FR45" s="1">
        <v>57500</v>
      </c>
      <c r="FS45" s="1">
        <f>11535+3960+3433+28299+2393</f>
        <v>49620</v>
      </c>
      <c r="FT45" s="1">
        <v>74590</v>
      </c>
      <c r="FU45" s="1">
        <v>15009</v>
      </c>
      <c r="FV45" s="41">
        <v>87938</v>
      </c>
      <c r="FW45" s="1">
        <v>16523</v>
      </c>
      <c r="FX45" s="1">
        <v>92246</v>
      </c>
      <c r="FY45" s="1">
        <v>46817</v>
      </c>
      <c r="FZ45" s="1">
        <v>62202</v>
      </c>
      <c r="GA45" s="1">
        <v>56318</v>
      </c>
      <c r="GB45" s="1">
        <v>162448</v>
      </c>
      <c r="GC45" s="1">
        <v>134397</v>
      </c>
      <c r="GD45" s="1">
        <v>133690</v>
      </c>
      <c r="GE45" s="2">
        <v>81314</v>
      </c>
      <c r="GF45" s="2">
        <v>140930</v>
      </c>
      <c r="GG45" s="1">
        <v>81359</v>
      </c>
      <c r="GH45" s="1">
        <v>51522</v>
      </c>
      <c r="GI45" s="1">
        <v>70144</v>
      </c>
      <c r="GJ45" s="18">
        <v>106655</v>
      </c>
      <c r="GK45" s="1">
        <v>236746</v>
      </c>
      <c r="GL45" s="1">
        <v>29799</v>
      </c>
      <c r="GM45" s="1">
        <v>94548</v>
      </c>
      <c r="GN45" s="1">
        <f>106254+7651</f>
        <v>113905</v>
      </c>
      <c r="GO45" s="1">
        <v>173809</v>
      </c>
      <c r="GP45" s="1">
        <v>127151</v>
      </c>
      <c r="GQ45" s="1"/>
    </row>
    <row r="46" spans="1:199" s="2" customFormat="1" ht="15">
      <c r="A46" s="2" t="s">
        <v>29</v>
      </c>
      <c r="B46" s="40">
        <f>11323-304-8122</f>
        <v>2897</v>
      </c>
      <c r="C46" s="40">
        <v>27945</v>
      </c>
      <c r="D46" s="1">
        <f>26190-1190</f>
        <v>25000</v>
      </c>
      <c r="E46" s="1">
        <f>35820-110-13077</f>
        <v>22633</v>
      </c>
      <c r="F46" s="1">
        <v>10010</v>
      </c>
      <c r="G46" s="1">
        <f>47902-1448-10632</f>
        <v>35822</v>
      </c>
      <c r="H46" s="1">
        <f>8115-856</f>
        <v>7259</v>
      </c>
      <c r="I46" s="1">
        <f>83326-32566-1785</f>
        <v>48975</v>
      </c>
      <c r="J46" s="1">
        <v>77327</v>
      </c>
      <c r="K46" s="1">
        <v>92651</v>
      </c>
      <c r="L46" s="1">
        <f>5463+101391</f>
        <v>106854</v>
      </c>
      <c r="M46" s="1">
        <f>48329-4353-5829</f>
        <v>38147</v>
      </c>
      <c r="N46" s="1">
        <f>9221-47-163+85703-2281-7021-10936</f>
        <v>74476</v>
      </c>
      <c r="O46" s="1">
        <v>54993</v>
      </c>
      <c r="P46" s="1">
        <f>40192-1669-15556-10840-775</f>
        <v>11352</v>
      </c>
      <c r="Q46" s="1">
        <v>211060</v>
      </c>
      <c r="R46" s="1">
        <f>87446-3177-22215</f>
        <v>62054</v>
      </c>
      <c r="S46" s="1">
        <v>91076</v>
      </c>
      <c r="T46" s="1">
        <f>30550-883-8232</f>
        <v>21435</v>
      </c>
      <c r="U46" s="1">
        <f>8876-154</f>
        <v>8722</v>
      </c>
      <c r="V46" s="1">
        <v>44006</v>
      </c>
      <c r="W46" s="1">
        <f>38490-2224</f>
        <v>36266</v>
      </c>
      <c r="X46" s="1">
        <v>37201</v>
      </c>
      <c r="Y46" s="1">
        <f>24233-3415-6455</f>
        <v>14363</v>
      </c>
      <c r="Z46" s="1">
        <v>91301</v>
      </c>
      <c r="AA46" s="1">
        <v>35542</v>
      </c>
      <c r="AB46" s="1">
        <v>156969</v>
      </c>
      <c r="AC46" s="1">
        <v>43229</v>
      </c>
      <c r="AD46" s="1">
        <f>88640-16302-32097</f>
        <v>40241</v>
      </c>
      <c r="AE46" s="2">
        <f>43123-2849</f>
        <v>40274</v>
      </c>
      <c r="AF46" s="1">
        <f>53041+42846-109</f>
        <v>95778</v>
      </c>
      <c r="AG46" s="1">
        <v>274226</v>
      </c>
      <c r="AH46" s="1">
        <f>46361-26932+22590</f>
        <v>42019</v>
      </c>
      <c r="AI46" s="1">
        <f>113803-10539-37592</f>
        <v>65672</v>
      </c>
      <c r="AJ46" s="1">
        <v>39410</v>
      </c>
      <c r="AK46" s="1">
        <v>76965</v>
      </c>
      <c r="AL46" s="1">
        <f>93753-6789-18876</f>
        <v>68088</v>
      </c>
      <c r="AM46" s="1">
        <v>24589</v>
      </c>
      <c r="AN46" s="1">
        <f>34643+30827</f>
        <v>65470</v>
      </c>
      <c r="AO46" s="1">
        <v>91828</v>
      </c>
      <c r="AP46" s="1">
        <v>342362</v>
      </c>
      <c r="AQ46" s="1">
        <f>87749-12039-23100</f>
        <v>52610</v>
      </c>
      <c r="AR46" s="1">
        <f>100151-8997-15383</f>
        <v>75771</v>
      </c>
      <c r="AS46" s="1">
        <v>63109</v>
      </c>
      <c r="AT46" s="41">
        <v>71616</v>
      </c>
      <c r="AU46" s="1">
        <v>91671</v>
      </c>
      <c r="AV46" s="1">
        <v>58379</v>
      </c>
      <c r="AW46" s="1">
        <f>141448-3480</f>
        <v>137968</v>
      </c>
      <c r="AX46" s="1">
        <f>31705-1226</f>
        <v>30479</v>
      </c>
      <c r="AY46" s="1">
        <f>65380-11724</f>
        <v>53656</v>
      </c>
      <c r="AZ46" s="1">
        <v>57615</v>
      </c>
      <c r="BA46" s="1">
        <v>320981</v>
      </c>
      <c r="BB46" s="18">
        <f>233882-23538-38708</f>
        <v>171636</v>
      </c>
      <c r="BC46" s="18">
        <v>9810</v>
      </c>
      <c r="BD46" s="1">
        <v>53156</v>
      </c>
      <c r="BE46" s="1">
        <v>46418</v>
      </c>
      <c r="BF46" s="1">
        <v>59488</v>
      </c>
      <c r="BG46" s="1">
        <f>532+13495+4398+7071+985+1503+5756+5231+1450+1476+1548+2227</f>
        <v>45672</v>
      </c>
      <c r="BH46" s="1">
        <v>150921</v>
      </c>
      <c r="BI46" s="2">
        <v>105582</v>
      </c>
      <c r="BJ46" s="1">
        <v>186942</v>
      </c>
      <c r="BK46" s="1">
        <v>116372</v>
      </c>
      <c r="BL46" s="1">
        <v>172363</v>
      </c>
      <c r="BM46" s="1">
        <v>43872</v>
      </c>
      <c r="BN46" s="1">
        <v>130819</v>
      </c>
      <c r="BO46" s="1">
        <v>133216</v>
      </c>
      <c r="BP46" s="1">
        <f>52238+43164-11449</f>
        <v>83953</v>
      </c>
      <c r="BQ46" s="1">
        <v>117732</v>
      </c>
      <c r="BR46" s="1">
        <v>118934</v>
      </c>
      <c r="BS46" s="1">
        <v>154195</v>
      </c>
      <c r="BT46" s="1">
        <v>13659</v>
      </c>
      <c r="BU46" s="1">
        <v>76278</v>
      </c>
      <c r="BV46" s="1">
        <v>68248</v>
      </c>
      <c r="BW46" s="1">
        <v>195696</v>
      </c>
      <c r="BX46" s="1">
        <f>110593+58259</f>
        <v>168852</v>
      </c>
      <c r="BY46" s="1">
        <v>131573</v>
      </c>
      <c r="BZ46" s="1">
        <v>200385</v>
      </c>
      <c r="CA46" s="1">
        <v>36881</v>
      </c>
      <c r="CB46" s="1">
        <v>29580</v>
      </c>
      <c r="CC46" s="1">
        <v>61977</v>
      </c>
      <c r="CD46" s="1">
        <f>147868-7117-14794</f>
        <v>125957</v>
      </c>
      <c r="CE46" s="1">
        <v>105762</v>
      </c>
      <c r="CF46" s="1">
        <v>266381</v>
      </c>
      <c r="CG46" s="1">
        <f>20689+80196-8871-14363</f>
        <v>77651</v>
      </c>
      <c r="CH46" s="1">
        <v>81850</v>
      </c>
      <c r="CI46" s="1">
        <v>122461</v>
      </c>
      <c r="CJ46" s="1">
        <v>79296</v>
      </c>
      <c r="CK46" s="1">
        <f>89052-20162-28308</f>
        <v>40582</v>
      </c>
      <c r="CL46" s="1">
        <v>88997</v>
      </c>
      <c r="CM46" s="1">
        <v>71918</v>
      </c>
      <c r="CN46" s="1">
        <v>100047</v>
      </c>
      <c r="CO46" s="1">
        <v>123256</v>
      </c>
      <c r="CP46" s="1">
        <v>235228</v>
      </c>
      <c r="CQ46" s="1">
        <f>50537+32000</f>
        <v>82537</v>
      </c>
      <c r="CR46" s="1">
        <f>257454-29417-31200</f>
        <v>196837</v>
      </c>
      <c r="CS46" s="1">
        <v>100657</v>
      </c>
      <c r="CT46" s="1">
        <f>73403-7579-17576</f>
        <v>48248</v>
      </c>
      <c r="CU46" s="1">
        <v>95471</v>
      </c>
      <c r="CV46" s="1">
        <v>239719</v>
      </c>
      <c r="CW46" s="1">
        <f>81731-4367</f>
        <v>77364</v>
      </c>
      <c r="CX46" s="41">
        <v>83392</v>
      </c>
      <c r="CY46" s="1">
        <f>359562-61357-35692</f>
        <v>262513</v>
      </c>
      <c r="CZ46" s="1">
        <f>205382-21298-41259</f>
        <v>142825</v>
      </c>
      <c r="DA46" s="1">
        <v>301160</v>
      </c>
      <c r="DB46" s="1">
        <v>147274</v>
      </c>
      <c r="DC46" s="1">
        <v>83449</v>
      </c>
      <c r="DD46" s="1">
        <v>90228</v>
      </c>
      <c r="DE46" s="1">
        <v>133099</v>
      </c>
      <c r="DF46" s="1">
        <f>111250-24123-17545</f>
        <v>69582</v>
      </c>
      <c r="DG46" s="1">
        <f>46455+7125+98125</f>
        <v>151705</v>
      </c>
      <c r="DH46" s="1">
        <f>538839-18968</f>
        <v>519871</v>
      </c>
      <c r="DI46" s="1">
        <v>62434</v>
      </c>
      <c r="DJ46" s="1">
        <v>570309</v>
      </c>
      <c r="DK46" s="1">
        <v>228377</v>
      </c>
      <c r="DL46" s="1">
        <f>290158-40115-40474+100</f>
        <v>209669</v>
      </c>
      <c r="DM46" s="2">
        <v>277162</v>
      </c>
      <c r="DN46" s="1">
        <v>54460</v>
      </c>
      <c r="DO46" s="1">
        <v>103077</v>
      </c>
      <c r="DP46" s="1">
        <v>269126</v>
      </c>
      <c r="DQ46" s="1">
        <v>127641</v>
      </c>
      <c r="DR46" s="1">
        <v>68005</v>
      </c>
      <c r="DS46" s="1">
        <v>130138</v>
      </c>
      <c r="DT46" s="1">
        <f>84073-15043</f>
        <v>69030</v>
      </c>
      <c r="DU46" s="1">
        <f>322437-38522-19144</f>
        <v>264771</v>
      </c>
      <c r="DV46" s="1">
        <v>136659</v>
      </c>
      <c r="DW46" s="1">
        <v>104616</v>
      </c>
      <c r="DX46" s="1">
        <v>323061</v>
      </c>
      <c r="DY46" s="1">
        <v>35846</v>
      </c>
      <c r="DZ46" s="1">
        <v>92700</v>
      </c>
      <c r="EA46" s="1">
        <v>124892</v>
      </c>
      <c r="EB46" s="1">
        <v>72846</v>
      </c>
      <c r="EC46" s="1">
        <v>55736</v>
      </c>
      <c r="ED46" s="1">
        <f>99605+9167</f>
        <v>108772</v>
      </c>
      <c r="EE46" s="1">
        <v>136054</v>
      </c>
      <c r="EF46" s="1">
        <v>145189</v>
      </c>
      <c r="EG46" s="1">
        <v>73108</v>
      </c>
      <c r="EH46" s="1">
        <v>183986</v>
      </c>
      <c r="EI46" s="1">
        <v>191029</v>
      </c>
      <c r="EJ46" s="1">
        <v>84045</v>
      </c>
      <c r="EK46" s="1">
        <f>518759</f>
        <v>518759</v>
      </c>
      <c r="EL46" s="1">
        <v>223283</v>
      </c>
      <c r="EM46" s="1">
        <f>117698+48147</f>
        <v>165845</v>
      </c>
      <c r="EN46" s="1">
        <v>225862</v>
      </c>
      <c r="EO46" s="1">
        <v>107401</v>
      </c>
      <c r="EP46" s="1">
        <v>178131</v>
      </c>
      <c r="EQ46" s="1">
        <v>91580</v>
      </c>
      <c r="ER46" s="1">
        <v>73733</v>
      </c>
      <c r="ES46" s="1">
        <v>136736</v>
      </c>
      <c r="ET46" s="1">
        <v>145885</v>
      </c>
      <c r="EU46" s="1">
        <f>113858+22203</f>
        <v>136061</v>
      </c>
      <c r="EV46" s="18">
        <v>211065</v>
      </c>
      <c r="EW46" s="1">
        <v>104018</v>
      </c>
      <c r="EX46" s="1">
        <v>294799</v>
      </c>
      <c r="EY46" s="1">
        <v>157727</v>
      </c>
      <c r="EZ46" s="1">
        <v>264675</v>
      </c>
      <c r="FA46" s="1">
        <v>145485</v>
      </c>
      <c r="FB46" s="1">
        <f>194521-10268</f>
        <v>184253</v>
      </c>
      <c r="FC46" s="1">
        <v>94253</v>
      </c>
      <c r="FD46" s="2">
        <v>128987</v>
      </c>
      <c r="FE46" s="1">
        <v>161799</v>
      </c>
      <c r="FF46" s="1">
        <f>329545-30593-34588</f>
        <v>264364</v>
      </c>
      <c r="FG46" s="1">
        <v>141958</v>
      </c>
      <c r="FH46" s="1">
        <v>728525</v>
      </c>
      <c r="FI46" s="1">
        <v>535300</v>
      </c>
      <c r="FJ46" s="1">
        <f>192035-39417-28352</f>
        <v>124266</v>
      </c>
      <c r="FK46" s="2">
        <f>176513-32121-34283+177421</f>
        <v>287530</v>
      </c>
      <c r="FL46" s="1">
        <v>273989</v>
      </c>
      <c r="FM46" s="1">
        <v>136471</v>
      </c>
      <c r="FN46" s="1">
        <v>652571</v>
      </c>
      <c r="FO46" s="1">
        <v>342618</v>
      </c>
      <c r="FP46" s="1">
        <f>117316+213</f>
        <v>117529</v>
      </c>
      <c r="FQ46" s="1">
        <v>183022</v>
      </c>
      <c r="FR46" s="1">
        <v>268407</v>
      </c>
      <c r="FS46" s="1">
        <f>421531-49620</f>
        <v>371911</v>
      </c>
      <c r="FT46" s="1">
        <v>321915</v>
      </c>
      <c r="FU46" s="1">
        <v>134618</v>
      </c>
      <c r="FV46" s="41">
        <v>402988</v>
      </c>
      <c r="FW46" s="1">
        <v>198582</v>
      </c>
      <c r="FX46" s="1">
        <v>488711</v>
      </c>
      <c r="FY46" s="1">
        <f>204312+50427</f>
        <v>254739</v>
      </c>
      <c r="FZ46" s="1">
        <v>395942</v>
      </c>
      <c r="GA46" s="1">
        <v>390498</v>
      </c>
      <c r="GB46" s="1">
        <v>490664</v>
      </c>
      <c r="GC46" s="1">
        <f>1015514-134397-81579</f>
        <v>799538</v>
      </c>
      <c r="GD46" s="1">
        <f>489269+239174</f>
        <v>728443</v>
      </c>
      <c r="GE46" s="1">
        <v>357747</v>
      </c>
      <c r="GF46" s="1">
        <f>2032+47008+143265+90982+8920</f>
        <v>292207</v>
      </c>
      <c r="GG46" s="1">
        <v>314754</v>
      </c>
      <c r="GH46" s="1">
        <v>225321</v>
      </c>
      <c r="GI46" s="1">
        <f>46749+373157</f>
        <v>419906</v>
      </c>
      <c r="GJ46" s="18">
        <v>382357</v>
      </c>
      <c r="GK46" s="1">
        <f>254272+1932005-236746-114910</f>
        <v>1834621</v>
      </c>
      <c r="GL46" s="1">
        <v>287554</v>
      </c>
      <c r="GM46" s="1">
        <f>541518-46162-94548</f>
        <v>400808</v>
      </c>
      <c r="GN46" s="1">
        <f>959655-113905-83484-83303</f>
        <v>678963</v>
      </c>
      <c r="GO46" s="1">
        <f>1042720-81121-173809+41409+14810-61570</f>
        <v>782439</v>
      </c>
      <c r="GP46" s="1">
        <v>429488</v>
      </c>
      <c r="GQ46" s="1"/>
    </row>
    <row r="47" spans="1:199" s="2" customFormat="1" ht="15">
      <c r="A47" s="2" t="s">
        <v>30</v>
      </c>
      <c r="B47" s="40">
        <f>4303+3819</f>
        <v>8122</v>
      </c>
      <c r="C47" s="40">
        <v>5681</v>
      </c>
      <c r="D47" s="1">
        <v>6609</v>
      </c>
      <c r="E47" s="1">
        <v>13077</v>
      </c>
      <c r="F47" s="1"/>
      <c r="G47" s="1">
        <f>9722+910</f>
        <v>10632</v>
      </c>
      <c r="H47" s="1"/>
      <c r="I47" s="1">
        <v>32566</v>
      </c>
      <c r="J47" s="1">
        <v>30168</v>
      </c>
      <c r="K47" s="1">
        <v>11917</v>
      </c>
      <c r="L47" s="1">
        <v>19167</v>
      </c>
      <c r="M47" s="1">
        <v>5829</v>
      </c>
      <c r="N47" s="1">
        <f>163+7021+10936</f>
        <v>18120</v>
      </c>
      <c r="O47" s="1">
        <v>10918</v>
      </c>
      <c r="P47" s="1">
        <f>8900+6656</f>
        <v>15556</v>
      </c>
      <c r="Q47" s="1">
        <v>21716</v>
      </c>
      <c r="R47" s="1">
        <f>15444+6771</f>
        <v>22215</v>
      </c>
      <c r="S47" s="1">
        <v>13733</v>
      </c>
      <c r="T47" s="1">
        <v>8232</v>
      </c>
      <c r="U47" s="1"/>
      <c r="V47" s="1">
        <v>42611</v>
      </c>
      <c r="W47" s="1">
        <v>18739</v>
      </c>
      <c r="X47" s="1">
        <v>5896</v>
      </c>
      <c r="Y47" s="1">
        <v>6455</v>
      </c>
      <c r="Z47" s="1">
        <v>21280</v>
      </c>
      <c r="AA47" s="1">
        <f>3945+1173</f>
        <v>5118</v>
      </c>
      <c r="AB47" s="1">
        <v>66943</v>
      </c>
      <c r="AC47" s="1">
        <v>52406</v>
      </c>
      <c r="AD47" s="1">
        <f>24453+7644</f>
        <v>32097</v>
      </c>
      <c r="AE47" s="1"/>
      <c r="AF47" s="1">
        <v>13691</v>
      </c>
      <c r="AG47" s="1">
        <v>51377</v>
      </c>
      <c r="AH47" s="1">
        <f>19378+7554</f>
        <v>26932</v>
      </c>
      <c r="AI47" s="1">
        <f>36375+1217</f>
        <v>37592</v>
      </c>
      <c r="AJ47" s="1">
        <v>21716</v>
      </c>
      <c r="AK47" s="1">
        <v>14475</v>
      </c>
      <c r="AL47" s="1">
        <f>10348+8528</f>
        <v>18876</v>
      </c>
      <c r="AM47" s="1">
        <v>32820</v>
      </c>
      <c r="AN47" s="1">
        <v>19328</v>
      </c>
      <c r="AO47" s="1">
        <v>14948</v>
      </c>
      <c r="AP47" s="1">
        <v>90409</v>
      </c>
      <c r="AQ47" s="1">
        <f>11443+11657</f>
        <v>23100</v>
      </c>
      <c r="AR47" s="1">
        <v>15383</v>
      </c>
      <c r="AS47" s="1">
        <v>15793</v>
      </c>
      <c r="AT47" s="41">
        <v>9842</v>
      </c>
      <c r="AU47" s="1">
        <v>8708</v>
      </c>
      <c r="AV47" s="1">
        <v>4237</v>
      </c>
      <c r="AW47" s="1">
        <v>25812</v>
      </c>
      <c r="AX47" s="1"/>
      <c r="AY47" s="1">
        <v>26773</v>
      </c>
      <c r="AZ47" s="1">
        <v>16463</v>
      </c>
      <c r="BA47" s="1">
        <v>46681</v>
      </c>
      <c r="BB47" s="18">
        <v>23538</v>
      </c>
      <c r="BC47" s="18">
        <v>38600</v>
      </c>
      <c r="BD47" s="1">
        <v>22673</v>
      </c>
      <c r="BE47" s="1">
        <v>20092</v>
      </c>
      <c r="BF47" s="1">
        <v>22772</v>
      </c>
      <c r="BG47" s="1">
        <f>10110+31501</f>
        <v>41611</v>
      </c>
      <c r="BH47" s="1">
        <v>33393</v>
      </c>
      <c r="BI47" s="2">
        <v>23966</v>
      </c>
      <c r="BJ47" s="1">
        <v>64704</v>
      </c>
      <c r="BK47" s="1">
        <v>26045</v>
      </c>
      <c r="BL47" s="1">
        <v>58037</v>
      </c>
      <c r="BM47" s="1">
        <v>6451</v>
      </c>
      <c r="BN47" s="1">
        <v>33183</v>
      </c>
      <c r="BO47" s="1">
        <v>21837</v>
      </c>
      <c r="BP47" s="1">
        <v>54855</v>
      </c>
      <c r="BQ47" s="1">
        <v>21262</v>
      </c>
      <c r="BR47" s="1">
        <v>32339</v>
      </c>
      <c r="BS47" s="1">
        <v>37096</v>
      </c>
      <c r="BT47" s="1">
        <v>12539</v>
      </c>
      <c r="BU47" s="1">
        <v>18770</v>
      </c>
      <c r="BV47" s="1">
        <v>14828</v>
      </c>
      <c r="BW47" s="1">
        <v>23524</v>
      </c>
      <c r="BX47" s="1">
        <v>27000</v>
      </c>
      <c r="BY47" s="1">
        <v>42894</v>
      </c>
      <c r="BZ47" s="1">
        <v>26376</v>
      </c>
      <c r="CA47" s="1">
        <v>21018</v>
      </c>
      <c r="CB47" s="1">
        <v>27236</v>
      </c>
      <c r="CC47" s="1">
        <v>30175</v>
      </c>
      <c r="CD47" s="1">
        <v>14794</v>
      </c>
      <c r="CE47" s="1">
        <v>24982</v>
      </c>
      <c r="CF47" s="1">
        <v>30296</v>
      </c>
      <c r="CG47" s="1">
        <f>7721+6642</f>
        <v>14363</v>
      </c>
      <c r="CH47" s="1">
        <v>14730</v>
      </c>
      <c r="CI47" s="1">
        <v>38444</v>
      </c>
      <c r="CJ47" s="1">
        <v>12823</v>
      </c>
      <c r="CK47" s="1">
        <f>17856+10452</f>
        <v>28308</v>
      </c>
      <c r="CL47" s="1">
        <v>4105</v>
      </c>
      <c r="CM47" s="1">
        <v>16656</v>
      </c>
      <c r="CN47" s="1">
        <v>15538</v>
      </c>
      <c r="CO47" s="1">
        <v>60816</v>
      </c>
      <c r="CP47" s="1">
        <v>37454</v>
      </c>
      <c r="CQ47" s="1">
        <v>13581</v>
      </c>
      <c r="CR47" s="1">
        <f>28262+2938</f>
        <v>31200</v>
      </c>
      <c r="CS47" s="1">
        <v>31614</v>
      </c>
      <c r="CT47" s="1">
        <v>17576</v>
      </c>
      <c r="CU47" s="1">
        <v>14358</v>
      </c>
      <c r="CV47" s="1">
        <v>24295</v>
      </c>
      <c r="CW47" s="1">
        <v>31093</v>
      </c>
      <c r="CX47" s="41">
        <v>18501</v>
      </c>
      <c r="CY47" s="1">
        <f>22196+13496</f>
        <v>35692</v>
      </c>
      <c r="CZ47" s="1">
        <f>37457+3802</f>
        <v>41259</v>
      </c>
      <c r="DA47" s="1">
        <v>72531</v>
      </c>
      <c r="DB47" s="1">
        <v>36477</v>
      </c>
      <c r="DC47" s="1">
        <v>18770</v>
      </c>
      <c r="DD47" s="1">
        <v>30315</v>
      </c>
      <c r="DE47" s="1">
        <v>30726</v>
      </c>
      <c r="DF47" s="1">
        <f>11067+6478</f>
        <v>17545</v>
      </c>
      <c r="DG47" s="1">
        <v>23441</v>
      </c>
      <c r="DH47" s="1">
        <v>31955</v>
      </c>
      <c r="DI47" s="1">
        <v>45921</v>
      </c>
      <c r="DJ47" s="1">
        <v>67321</v>
      </c>
      <c r="DK47" s="1">
        <v>16473</v>
      </c>
      <c r="DL47" s="1">
        <f>39342+1132</f>
        <v>40474</v>
      </c>
      <c r="DM47" s="1">
        <v>39046</v>
      </c>
      <c r="DN47" s="1">
        <v>15264</v>
      </c>
      <c r="DO47" s="1">
        <v>43543</v>
      </c>
      <c r="DP47" s="1">
        <v>29612</v>
      </c>
      <c r="DQ47" s="1">
        <v>22918</v>
      </c>
      <c r="DR47" s="1">
        <v>4573</v>
      </c>
      <c r="DS47" s="1">
        <v>32944</v>
      </c>
      <c r="DT47" s="1">
        <v>15043</v>
      </c>
      <c r="DU47" s="1">
        <v>19144</v>
      </c>
      <c r="DV47" s="1">
        <v>15821</v>
      </c>
      <c r="DW47" s="1">
        <v>35291</v>
      </c>
      <c r="DX47" s="1">
        <v>48602</v>
      </c>
      <c r="DY47" s="1">
        <v>19159</v>
      </c>
      <c r="DZ47" s="1">
        <v>12109</v>
      </c>
      <c r="EA47" s="1">
        <v>30170</v>
      </c>
      <c r="EB47" s="1">
        <v>27562</v>
      </c>
      <c r="EC47" s="1">
        <v>27487</v>
      </c>
      <c r="ED47" s="1">
        <v>19199</v>
      </c>
      <c r="EE47" s="1">
        <v>17212</v>
      </c>
      <c r="EF47" s="1">
        <v>30981</v>
      </c>
      <c r="EG47" s="1">
        <v>35040</v>
      </c>
      <c r="EH47" s="1">
        <v>33596</v>
      </c>
      <c r="EI47" s="1">
        <v>22486</v>
      </c>
      <c r="EJ47" s="1">
        <v>12087</v>
      </c>
      <c r="EK47" s="1">
        <v>96378</v>
      </c>
      <c r="EL47" s="1">
        <v>33536</v>
      </c>
      <c r="EM47" s="1">
        <f>23003+8377</f>
        <v>31380</v>
      </c>
      <c r="EN47" s="1">
        <v>22646</v>
      </c>
      <c r="EO47" s="1">
        <v>20121</v>
      </c>
      <c r="EP47" s="1">
        <v>63989</v>
      </c>
      <c r="EQ47" s="1">
        <v>42890</v>
      </c>
      <c r="ER47" s="1">
        <v>25567</v>
      </c>
      <c r="ES47" s="1">
        <v>14698</v>
      </c>
      <c r="ET47" s="1">
        <v>36798</v>
      </c>
      <c r="EU47" s="1">
        <v>23455</v>
      </c>
      <c r="EV47" s="18">
        <v>15294</v>
      </c>
      <c r="EW47" s="1">
        <v>47348</v>
      </c>
      <c r="EX47" s="1">
        <v>41149</v>
      </c>
      <c r="EY47" s="1">
        <v>25072</v>
      </c>
      <c r="EZ47" s="1">
        <v>61113</v>
      </c>
      <c r="FA47" s="1">
        <v>19770</v>
      </c>
      <c r="FB47" s="1">
        <v>17218</v>
      </c>
      <c r="FC47" s="1">
        <v>58085</v>
      </c>
      <c r="FD47" s="1">
        <v>37045</v>
      </c>
      <c r="FE47" s="1">
        <v>55334</v>
      </c>
      <c r="FF47" s="1">
        <f>32369+2219</f>
        <v>34588</v>
      </c>
      <c r="FG47" s="1">
        <v>77382</v>
      </c>
      <c r="FH47" s="1">
        <f>75263+2725</f>
        <v>77988</v>
      </c>
      <c r="FI47" s="1">
        <v>49406</v>
      </c>
      <c r="FJ47" s="1">
        <f>21243+7109</f>
        <v>28352</v>
      </c>
      <c r="FK47" s="2">
        <f>21027+13256</f>
        <v>34283</v>
      </c>
      <c r="FL47" s="1">
        <v>37343</v>
      </c>
      <c r="FM47" s="1">
        <v>30740</v>
      </c>
      <c r="FN47" s="1">
        <f>106331+19710</f>
        <v>126041</v>
      </c>
      <c r="FO47" s="1">
        <f>54414+5680</f>
        <v>60094</v>
      </c>
      <c r="FP47" s="1">
        <v>25422</v>
      </c>
      <c r="FQ47" s="1">
        <v>51934</v>
      </c>
      <c r="FR47" s="1">
        <v>24419</v>
      </c>
      <c r="FS47" s="1">
        <v>65863</v>
      </c>
      <c r="FT47" s="1">
        <v>65516</v>
      </c>
      <c r="FU47" s="1">
        <f>26619+8115</f>
        <v>34734</v>
      </c>
      <c r="FV47" s="41">
        <v>42337</v>
      </c>
      <c r="FW47" s="1">
        <v>52325</v>
      </c>
      <c r="FX47" s="1">
        <f>65865+32633</f>
        <v>98498</v>
      </c>
      <c r="FY47" s="1">
        <v>41939</v>
      </c>
      <c r="FZ47" s="1">
        <v>86178</v>
      </c>
      <c r="GA47" s="1">
        <v>44495</v>
      </c>
      <c r="GB47" s="1">
        <v>95835</v>
      </c>
      <c r="GC47" s="1">
        <v>81579</v>
      </c>
      <c r="GD47" s="1">
        <v>163716</v>
      </c>
      <c r="GE47" s="1">
        <v>41852</v>
      </c>
      <c r="GF47" s="1">
        <v>24770</v>
      </c>
      <c r="GG47" s="1">
        <v>91784</v>
      </c>
      <c r="GH47" s="1">
        <v>27388</v>
      </c>
      <c r="GI47" s="1">
        <v>75836</v>
      </c>
      <c r="GJ47" s="18">
        <v>19248</v>
      </c>
      <c r="GK47" s="1">
        <f>110324+4586</f>
        <v>114910</v>
      </c>
      <c r="GL47" s="1">
        <v>72572</v>
      </c>
      <c r="GM47" s="1">
        <f>21986+24176</f>
        <v>46162</v>
      </c>
      <c r="GN47" s="1">
        <v>83484</v>
      </c>
      <c r="GO47" s="1">
        <v>81121</v>
      </c>
      <c r="GP47" s="1">
        <v>124033</v>
      </c>
      <c r="GQ47" s="1"/>
    </row>
    <row r="48" spans="1:199" s="2" customFormat="1" ht="15">
      <c r="A48" s="2" t="s">
        <v>31</v>
      </c>
      <c r="B48" s="40"/>
      <c r="C48" s="4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41"/>
      <c r="AU48" s="1"/>
      <c r="AV48" s="1"/>
      <c r="AW48" s="1"/>
      <c r="AX48" s="1"/>
      <c r="AY48" s="1"/>
      <c r="AZ48" s="1"/>
      <c r="BA48" s="1"/>
      <c r="BB48" s="18">
        <v>102239</v>
      </c>
      <c r="BC48" s="18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 t="s">
        <v>50</v>
      </c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4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>
        <v>288857</v>
      </c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>
        <v>123223</v>
      </c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>
        <v>30379</v>
      </c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8"/>
      <c r="EW48" s="1"/>
      <c r="EX48" s="1">
        <v>166945</v>
      </c>
      <c r="EY48" s="1"/>
      <c r="EZ48" s="1"/>
      <c r="FA48" s="1"/>
      <c r="FB48" s="1"/>
      <c r="FC48" s="1"/>
      <c r="FD48" s="1"/>
      <c r="FE48" s="1"/>
      <c r="FF48" s="1"/>
      <c r="FG48" s="1"/>
      <c r="FH48" s="1">
        <v>231695</v>
      </c>
      <c r="FI48" s="1"/>
      <c r="FJ48" s="1"/>
      <c r="FL48" s="1"/>
      <c r="FM48" s="1"/>
      <c r="FN48" s="1">
        <v>100168</v>
      </c>
      <c r="FO48" s="1">
        <v>81173</v>
      </c>
      <c r="FP48" s="1"/>
      <c r="FQ48" s="1"/>
      <c r="FR48" s="1"/>
      <c r="FS48" s="1"/>
      <c r="FT48" s="1"/>
      <c r="FU48" s="1"/>
      <c r="FV48" s="41">
        <v>50074</v>
      </c>
      <c r="FW48" s="1"/>
      <c r="FX48" s="1"/>
      <c r="FY48" s="1">
        <v>167306</v>
      </c>
      <c r="FZ48" s="1"/>
      <c r="GA48" s="1"/>
      <c r="GB48" s="1">
        <v>355390</v>
      </c>
      <c r="GC48" s="1"/>
      <c r="GD48" s="1"/>
      <c r="GE48" s="1">
        <v>486251</v>
      </c>
      <c r="GF48" s="1"/>
      <c r="GG48" s="1"/>
      <c r="GH48" s="1"/>
      <c r="GI48" s="1"/>
      <c r="GJ48" s="18"/>
      <c r="GK48" s="1">
        <v>134478</v>
      </c>
      <c r="GL48" s="1">
        <v>149922</v>
      </c>
      <c r="GM48" s="1"/>
      <c r="GN48" s="1">
        <v>83303</v>
      </c>
      <c r="GO48" s="1">
        <v>31053</v>
      </c>
      <c r="GP48" s="1">
        <v>390414</v>
      </c>
      <c r="GQ48" s="1"/>
    </row>
    <row r="49" spans="1:199" s="2" customFormat="1" ht="15">
      <c r="A49" s="2" t="s">
        <v>32</v>
      </c>
      <c r="B49" s="40"/>
      <c r="C49" s="40"/>
      <c r="D49" s="1"/>
      <c r="E49" s="1"/>
      <c r="F49" s="1"/>
      <c r="G49" s="1"/>
      <c r="H49" s="1"/>
      <c r="I49" s="1"/>
      <c r="J49" s="1"/>
      <c r="K49" s="1"/>
      <c r="L49" s="1"/>
      <c r="M49" s="1">
        <v>15498</v>
      </c>
      <c r="N49" s="1"/>
      <c r="O49" s="1"/>
      <c r="P49" s="1"/>
      <c r="Q49" s="1"/>
      <c r="R49" s="1"/>
      <c r="S49" s="1">
        <v>99939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41"/>
      <c r="AU49" s="1"/>
      <c r="AV49" s="1"/>
      <c r="AW49" s="1"/>
      <c r="AX49" s="1"/>
      <c r="AY49" s="1"/>
      <c r="AZ49" s="1"/>
      <c r="BA49" s="1"/>
      <c r="BB49" s="18"/>
      <c r="BC49" s="18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>
        <v>211516</v>
      </c>
      <c r="CI49" s="1"/>
      <c r="CJ49" s="1"/>
      <c r="CK49" s="1">
        <v>245994</v>
      </c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41"/>
      <c r="CY49" s="1"/>
      <c r="CZ49" s="1">
        <v>20973</v>
      </c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>
        <v>53251</v>
      </c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8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L49" s="1"/>
      <c r="FM49" s="1"/>
      <c r="FN49" s="1"/>
      <c r="FO49" s="1"/>
      <c r="FP49" s="1"/>
      <c r="FQ49" s="1"/>
      <c r="FR49" s="1"/>
      <c r="FS49" s="1">
        <v>258401</v>
      </c>
      <c r="FT49" s="1"/>
      <c r="FU49" s="1"/>
      <c r="FV49" s="41"/>
      <c r="FW49" s="1"/>
      <c r="FX49" s="1"/>
      <c r="FY49" s="1"/>
      <c r="FZ49" s="1">
        <v>434223</v>
      </c>
      <c r="GA49" s="1"/>
      <c r="GB49" s="1"/>
      <c r="GC49" s="1"/>
      <c r="GD49" s="1"/>
      <c r="GE49" s="1"/>
      <c r="GF49" s="1">
        <v>157020</v>
      </c>
      <c r="GG49" s="1"/>
      <c r="GH49" s="1"/>
      <c r="GI49" s="1"/>
      <c r="GJ49" s="18"/>
      <c r="GK49" s="1"/>
      <c r="GL49" s="1"/>
      <c r="GM49" s="1">
        <v>858332</v>
      </c>
      <c r="GN49" s="1"/>
      <c r="GO49" s="1"/>
      <c r="GP49" s="1"/>
      <c r="GQ49" s="1"/>
    </row>
    <row r="50" spans="1:199" s="2" customFormat="1" ht="15">
      <c r="A50" s="2" t="s">
        <v>33</v>
      </c>
      <c r="B50" s="40">
        <v>7386</v>
      </c>
      <c r="C50" s="40">
        <v>31977</v>
      </c>
      <c r="D50" s="1">
        <v>16056</v>
      </c>
      <c r="E50" s="1">
        <v>16548</v>
      </c>
      <c r="F50" s="1">
        <v>4614</v>
      </c>
      <c r="G50" s="1">
        <v>31433</v>
      </c>
      <c r="H50" s="1">
        <v>14267</v>
      </c>
      <c r="I50" s="1">
        <v>27560</v>
      </c>
      <c r="J50" s="1">
        <v>65236</v>
      </c>
      <c r="K50" s="1">
        <v>51056</v>
      </c>
      <c r="L50" s="1">
        <v>36239</v>
      </c>
      <c r="M50" s="1">
        <v>23465</v>
      </c>
      <c r="N50" s="1">
        <v>27867</v>
      </c>
      <c r="O50" s="1">
        <v>28921</v>
      </c>
      <c r="P50" s="1">
        <v>21292</v>
      </c>
      <c r="Q50" s="1">
        <v>52956</v>
      </c>
      <c r="R50" s="1">
        <v>32850</v>
      </c>
      <c r="S50" s="1">
        <v>37043</v>
      </c>
      <c r="T50" s="1">
        <v>31480</v>
      </c>
      <c r="U50" s="1">
        <v>15522</v>
      </c>
      <c r="V50" s="1">
        <v>27709</v>
      </c>
      <c r="W50" s="1">
        <v>23847</v>
      </c>
      <c r="X50" s="1">
        <v>26078</v>
      </c>
      <c r="Y50" s="1">
        <v>25496</v>
      </c>
      <c r="Z50" s="1">
        <v>46405</v>
      </c>
      <c r="AA50" s="1">
        <v>25422</v>
      </c>
      <c r="AB50" s="1">
        <v>76300</v>
      </c>
      <c r="AC50" s="1">
        <v>37614</v>
      </c>
      <c r="AD50" s="1">
        <v>44876</v>
      </c>
      <c r="AE50" s="1">
        <v>24154</v>
      </c>
      <c r="AF50" s="1">
        <v>24671</v>
      </c>
      <c r="AG50" s="1">
        <v>54406</v>
      </c>
      <c r="AH50" s="1">
        <f>3819+41294</f>
        <v>45113</v>
      </c>
      <c r="AI50" s="1">
        <v>43227</v>
      </c>
      <c r="AJ50" s="1">
        <v>34057</v>
      </c>
      <c r="AK50" s="1">
        <v>20961</v>
      </c>
      <c r="AL50" s="1">
        <v>41542</v>
      </c>
      <c r="AM50" s="1">
        <v>22470</v>
      </c>
      <c r="AN50" s="1">
        <f>5767+66802</f>
        <v>72569</v>
      </c>
      <c r="AO50" s="1">
        <v>29849</v>
      </c>
      <c r="AP50" s="1">
        <v>84079</v>
      </c>
      <c r="AQ50" s="1">
        <v>31593</v>
      </c>
      <c r="AR50" s="1">
        <v>50245</v>
      </c>
      <c r="AS50" s="1">
        <v>64488</v>
      </c>
      <c r="AT50" s="41">
        <v>21543</v>
      </c>
      <c r="AU50" s="1">
        <v>32497</v>
      </c>
      <c r="AV50" s="1">
        <v>23954</v>
      </c>
      <c r="AW50" s="1">
        <v>50184</v>
      </c>
      <c r="AX50" s="1">
        <v>29447</v>
      </c>
      <c r="AY50" s="1">
        <v>26859</v>
      </c>
      <c r="AZ50" s="1">
        <v>59596</v>
      </c>
      <c r="BA50" s="1">
        <v>140759</v>
      </c>
      <c r="BB50" s="18">
        <v>74209</v>
      </c>
      <c r="BC50" s="18">
        <v>39640</v>
      </c>
      <c r="BD50" s="1">
        <v>62335</v>
      </c>
      <c r="BE50" s="1">
        <v>40257</v>
      </c>
      <c r="BF50" s="1">
        <v>40886</v>
      </c>
      <c r="BG50" s="1">
        <v>34204</v>
      </c>
      <c r="BH50" s="1">
        <v>47805</v>
      </c>
      <c r="BI50" s="2">
        <v>38483</v>
      </c>
      <c r="BJ50" s="1">
        <v>79594</v>
      </c>
      <c r="BK50" s="1">
        <v>48988</v>
      </c>
      <c r="BL50" s="1">
        <v>44440</v>
      </c>
      <c r="BM50" s="1">
        <v>34647</v>
      </c>
      <c r="BN50" s="1">
        <v>47905</v>
      </c>
      <c r="BO50" s="1">
        <v>73932</v>
      </c>
      <c r="BP50" s="1">
        <v>53664</v>
      </c>
      <c r="BQ50" s="1">
        <v>46061</v>
      </c>
      <c r="BR50" s="1">
        <v>55141</v>
      </c>
      <c r="BS50" s="1">
        <v>54381</v>
      </c>
      <c r="BT50" s="1">
        <v>31214</v>
      </c>
      <c r="BU50" s="1">
        <v>28682</v>
      </c>
      <c r="BV50" s="1">
        <v>36607</v>
      </c>
      <c r="BW50" s="1">
        <v>45327</v>
      </c>
      <c r="BX50" s="1">
        <v>49503</v>
      </c>
      <c r="BY50" s="1">
        <v>114035</v>
      </c>
      <c r="BZ50" s="1">
        <v>81960</v>
      </c>
      <c r="CA50" s="1">
        <v>47932</v>
      </c>
      <c r="CB50" s="1">
        <v>67063</v>
      </c>
      <c r="CC50" s="1">
        <v>52682</v>
      </c>
      <c r="CD50" s="1">
        <v>50289</v>
      </c>
      <c r="CE50" s="1">
        <v>30704</v>
      </c>
      <c r="CF50" s="1">
        <v>98328</v>
      </c>
      <c r="CG50" s="1">
        <v>49269</v>
      </c>
      <c r="CH50" s="1">
        <v>39828</v>
      </c>
      <c r="CI50" s="1">
        <v>67563</v>
      </c>
      <c r="CJ50" s="1">
        <v>44993</v>
      </c>
      <c r="CK50" s="1">
        <v>44827</v>
      </c>
      <c r="CL50" s="1">
        <v>34072</v>
      </c>
      <c r="CM50" s="1">
        <v>45356</v>
      </c>
      <c r="CN50" s="1">
        <v>35506</v>
      </c>
      <c r="CO50" s="1">
        <v>79488</v>
      </c>
      <c r="CP50" s="1">
        <v>77201</v>
      </c>
      <c r="CQ50" s="1">
        <v>40036</v>
      </c>
      <c r="CR50" s="1">
        <v>76672</v>
      </c>
      <c r="CS50" s="1">
        <v>71264</v>
      </c>
      <c r="CT50" s="1">
        <v>47930</v>
      </c>
      <c r="CU50" s="1">
        <f>117770-45390</f>
        <v>72380</v>
      </c>
      <c r="CV50" s="1">
        <v>39385</v>
      </c>
      <c r="CW50" s="1">
        <v>48028</v>
      </c>
      <c r="CX50" s="41">
        <v>40375</v>
      </c>
      <c r="CY50" s="1">
        <v>100436</v>
      </c>
      <c r="CZ50" s="1">
        <v>43390</v>
      </c>
      <c r="DA50" s="1">
        <v>90675</v>
      </c>
      <c r="DB50" s="1">
        <v>81495</v>
      </c>
      <c r="DC50" s="1">
        <v>44127</v>
      </c>
      <c r="DD50" s="1">
        <v>78763</v>
      </c>
      <c r="DE50" s="1">
        <v>82479</v>
      </c>
      <c r="DF50" s="1">
        <v>45918</v>
      </c>
      <c r="DG50" s="1">
        <v>85945</v>
      </c>
      <c r="DH50" s="1">
        <v>137117</v>
      </c>
      <c r="DI50" s="1">
        <v>64415</v>
      </c>
      <c r="DJ50" s="1">
        <v>93131</v>
      </c>
      <c r="DK50" s="1">
        <v>96042</v>
      </c>
      <c r="DL50" s="1">
        <v>84688</v>
      </c>
      <c r="DM50" s="1">
        <v>57559</v>
      </c>
      <c r="DN50" s="1">
        <v>64297</v>
      </c>
      <c r="DO50" s="1">
        <v>66148</v>
      </c>
      <c r="DP50" s="1">
        <v>54299</v>
      </c>
      <c r="DQ50" s="1">
        <v>48595</v>
      </c>
      <c r="DR50" s="1">
        <v>64027</v>
      </c>
      <c r="DS50" s="1">
        <v>80310</v>
      </c>
      <c r="DT50" s="1">
        <v>67733</v>
      </c>
      <c r="DU50" s="1">
        <v>109111</v>
      </c>
      <c r="DV50" s="1">
        <v>44586</v>
      </c>
      <c r="DW50" s="1">
        <v>41764</v>
      </c>
      <c r="DX50" s="1">
        <v>123236</v>
      </c>
      <c r="DY50" s="1">
        <v>58700</v>
      </c>
      <c r="DZ50" s="1">
        <v>92763</v>
      </c>
      <c r="EA50" s="1">
        <v>49736</v>
      </c>
      <c r="EB50" s="1">
        <v>45946</v>
      </c>
      <c r="EC50" s="1">
        <v>64235</v>
      </c>
      <c r="ED50" s="1">
        <v>57958</v>
      </c>
      <c r="EE50" s="1">
        <v>47053</v>
      </c>
      <c r="EF50" s="1">
        <v>94699</v>
      </c>
      <c r="EG50" s="1">
        <v>61537</v>
      </c>
      <c r="EH50" s="1">
        <v>87203</v>
      </c>
      <c r="EI50" s="1">
        <v>68248</v>
      </c>
      <c r="EJ50" s="1">
        <v>57310</v>
      </c>
      <c r="EK50" s="1">
        <v>231073</v>
      </c>
      <c r="EL50" s="1">
        <v>57440</v>
      </c>
      <c r="EM50" s="1">
        <v>85187</v>
      </c>
      <c r="EN50" s="1">
        <v>91444</v>
      </c>
      <c r="EO50" s="1">
        <v>84471</v>
      </c>
      <c r="EP50" s="1">
        <v>81498</v>
      </c>
      <c r="EQ50" s="1">
        <v>63226</v>
      </c>
      <c r="ER50" s="1">
        <v>135711</v>
      </c>
      <c r="ES50" s="1">
        <v>80369</v>
      </c>
      <c r="ET50" s="1">
        <v>77633</v>
      </c>
      <c r="EU50" s="1">
        <v>77104</v>
      </c>
      <c r="EV50" s="18">
        <v>68997</v>
      </c>
      <c r="EW50" s="1">
        <v>233297</v>
      </c>
      <c r="EX50" s="1">
        <v>115312</v>
      </c>
      <c r="EY50" s="1">
        <v>58798</v>
      </c>
      <c r="EZ50" s="1">
        <v>86796</v>
      </c>
      <c r="FA50" s="1">
        <v>73635</v>
      </c>
      <c r="FB50" s="1">
        <v>111953</v>
      </c>
      <c r="FC50" s="1">
        <v>82677</v>
      </c>
      <c r="FD50" s="1">
        <v>128407</v>
      </c>
      <c r="FE50" s="1">
        <v>109202</v>
      </c>
      <c r="FF50" s="1">
        <v>121970</v>
      </c>
      <c r="FG50" s="1">
        <v>131016</v>
      </c>
      <c r="FH50" s="1">
        <v>466427</v>
      </c>
      <c r="FI50" s="1">
        <v>189768</v>
      </c>
      <c r="FJ50" s="1">
        <v>107470</v>
      </c>
      <c r="FK50" s="2">
        <v>96972</v>
      </c>
      <c r="FL50" s="1">
        <v>143144</v>
      </c>
      <c r="FM50" s="1">
        <v>242698</v>
      </c>
      <c r="FN50" s="1">
        <v>337993</v>
      </c>
      <c r="FO50" s="1">
        <v>392036</v>
      </c>
      <c r="FP50" s="1">
        <v>87956</v>
      </c>
      <c r="FQ50" s="1">
        <v>146487</v>
      </c>
      <c r="FR50" s="1">
        <v>106925</v>
      </c>
      <c r="FS50" s="1">
        <v>255064</v>
      </c>
      <c r="FT50" s="1">
        <v>122973</v>
      </c>
      <c r="FU50" s="1">
        <v>150469</v>
      </c>
      <c r="FV50" s="41">
        <v>213147</v>
      </c>
      <c r="FW50" s="1">
        <v>245251</v>
      </c>
      <c r="FX50" s="1">
        <v>255447</v>
      </c>
      <c r="FY50" s="1">
        <v>168672</v>
      </c>
      <c r="FZ50" s="1">
        <v>203469</v>
      </c>
      <c r="GA50" s="1">
        <v>185332</v>
      </c>
      <c r="GB50" s="1">
        <v>502801</v>
      </c>
      <c r="GC50" s="1">
        <v>212304</v>
      </c>
      <c r="GD50" s="1">
        <v>233609</v>
      </c>
      <c r="GE50" s="1">
        <v>215541</v>
      </c>
      <c r="GF50" s="1">
        <v>127090</v>
      </c>
      <c r="GG50" s="1">
        <v>210975</v>
      </c>
      <c r="GH50" s="1">
        <v>157452</v>
      </c>
      <c r="GI50" s="1">
        <v>148975</v>
      </c>
      <c r="GJ50" s="18">
        <v>267524</v>
      </c>
      <c r="GK50" s="1">
        <v>379989</v>
      </c>
      <c r="GL50" s="1">
        <v>498202</v>
      </c>
      <c r="GM50" s="1">
        <v>198559</v>
      </c>
      <c r="GN50" s="1">
        <v>248351</v>
      </c>
      <c r="GO50" s="1">
        <v>379206</v>
      </c>
      <c r="GP50" s="1">
        <v>495415</v>
      </c>
      <c r="GQ50" s="1"/>
    </row>
    <row r="51" spans="1:199" s="2" customFormat="1" ht="15">
      <c r="A51" s="2" t="s">
        <v>34</v>
      </c>
      <c r="B51" s="40">
        <v>4800</v>
      </c>
      <c r="C51" s="40">
        <v>30000</v>
      </c>
      <c r="D51" s="1">
        <v>12600</v>
      </c>
      <c r="E51" s="1"/>
      <c r="F51" s="1"/>
      <c r="G51" s="1">
        <v>12000</v>
      </c>
      <c r="H51" s="1">
        <v>15000</v>
      </c>
      <c r="I51" s="1">
        <v>19400</v>
      </c>
      <c r="J51" s="1">
        <v>20417</v>
      </c>
      <c r="K51" s="1">
        <v>31650</v>
      </c>
      <c r="L51" s="1">
        <v>59000</v>
      </c>
      <c r="M51" s="1">
        <v>20367</v>
      </c>
      <c r="N51" s="1">
        <f>3042+31898</f>
        <v>34940</v>
      </c>
      <c r="O51" s="1">
        <v>21144</v>
      </c>
      <c r="P51" s="1">
        <v>13564</v>
      </c>
      <c r="Q51" s="1">
        <v>45000</v>
      </c>
      <c r="R51" s="1">
        <v>20000</v>
      </c>
      <c r="S51" s="1">
        <v>30864</v>
      </c>
      <c r="T51" s="1">
        <v>19878</v>
      </c>
      <c r="U51" s="1">
        <v>10710</v>
      </c>
      <c r="V51" s="1">
        <v>49680</v>
      </c>
      <c r="W51" s="1">
        <v>37000</v>
      </c>
      <c r="X51" s="1">
        <v>36488</v>
      </c>
      <c r="Y51" s="1">
        <v>25000</v>
      </c>
      <c r="Z51" s="1">
        <v>34591</v>
      </c>
      <c r="AA51" s="1">
        <v>12000</v>
      </c>
      <c r="AB51" s="1">
        <v>41000</v>
      </c>
      <c r="AC51" s="1">
        <v>41421</v>
      </c>
      <c r="AD51" s="1">
        <v>46667</v>
      </c>
      <c r="AE51" s="1">
        <v>13200</v>
      </c>
      <c r="AF51" s="1">
        <v>43750</v>
      </c>
      <c r="AG51" s="1">
        <v>41674</v>
      </c>
      <c r="AH51" s="1">
        <f>15000+30000</f>
        <v>45000</v>
      </c>
      <c r="AI51" s="1">
        <v>70800</v>
      </c>
      <c r="AJ51" s="1">
        <v>48997</v>
      </c>
      <c r="AK51" s="1">
        <v>46202</v>
      </c>
      <c r="AL51" s="1">
        <v>23287</v>
      </c>
      <c r="AM51" s="1">
        <v>39391</v>
      </c>
      <c r="AN51" s="1">
        <v>54548</v>
      </c>
      <c r="AO51" s="1">
        <v>48266</v>
      </c>
      <c r="AP51" s="1">
        <v>93590</v>
      </c>
      <c r="AQ51" s="1">
        <v>49763</v>
      </c>
      <c r="AR51" s="1">
        <v>36465</v>
      </c>
      <c r="AS51" s="1">
        <v>39000</v>
      </c>
      <c r="AT51" s="41">
        <v>38000</v>
      </c>
      <c r="AU51" s="1">
        <v>56067</v>
      </c>
      <c r="AV51" s="1">
        <v>22092</v>
      </c>
      <c r="AW51" s="1">
        <v>54000</v>
      </c>
      <c r="AX51" s="1">
        <v>17032</v>
      </c>
      <c r="AY51" s="1">
        <v>36473</v>
      </c>
      <c r="AZ51" s="1">
        <v>54000</v>
      </c>
      <c r="BA51" s="1">
        <v>83000</v>
      </c>
      <c r="BB51" s="18">
        <v>60534</v>
      </c>
      <c r="BC51" s="18">
        <v>25932</v>
      </c>
      <c r="BD51" s="1">
        <v>34800</v>
      </c>
      <c r="BE51" s="1">
        <v>31673</v>
      </c>
      <c r="BF51" s="1">
        <v>34000</v>
      </c>
      <c r="BG51" s="1">
        <v>44641</v>
      </c>
      <c r="BH51" s="1">
        <v>52000</v>
      </c>
      <c r="BI51" s="2">
        <v>56100</v>
      </c>
      <c r="BJ51" s="1">
        <v>75000</v>
      </c>
      <c r="BK51" s="1">
        <v>74305</v>
      </c>
      <c r="BL51" s="1">
        <v>56833</v>
      </c>
      <c r="BM51" s="1">
        <v>26594</v>
      </c>
      <c r="BN51" s="1">
        <v>50952</v>
      </c>
      <c r="BO51" s="1">
        <v>36000</v>
      </c>
      <c r="BP51" s="1">
        <f>45400+7400</f>
        <v>52800</v>
      </c>
      <c r="BQ51" s="1">
        <v>75000</v>
      </c>
      <c r="BR51" s="1">
        <v>36771</v>
      </c>
      <c r="BS51" s="1">
        <v>59500</v>
      </c>
      <c r="BT51" s="1">
        <v>45000</v>
      </c>
      <c r="BU51" s="1">
        <v>45000</v>
      </c>
      <c r="BV51" s="1">
        <v>24800</v>
      </c>
      <c r="BW51" s="1">
        <v>69525</v>
      </c>
      <c r="BX51" s="1">
        <v>40000</v>
      </c>
      <c r="BY51" s="1">
        <v>77484</v>
      </c>
      <c r="BZ51" s="1">
        <v>39052</v>
      </c>
      <c r="CA51" s="1">
        <v>68250</v>
      </c>
      <c r="CB51" s="1">
        <v>73040</v>
      </c>
      <c r="CC51" s="1">
        <v>54000</v>
      </c>
      <c r="CD51" s="1">
        <v>36000</v>
      </c>
      <c r="CE51" s="1">
        <v>50004</v>
      </c>
      <c r="CF51" s="1">
        <v>53045</v>
      </c>
      <c r="CG51" s="1">
        <v>47737</v>
      </c>
      <c r="CH51" s="1">
        <v>47438</v>
      </c>
      <c r="CI51" s="1">
        <v>104500</v>
      </c>
      <c r="CJ51" s="1">
        <v>47077</v>
      </c>
      <c r="CK51" s="1">
        <v>48087</v>
      </c>
      <c r="CL51" s="1">
        <v>48954</v>
      </c>
      <c r="CM51" s="1">
        <v>53880</v>
      </c>
      <c r="CN51" s="1">
        <v>48250</v>
      </c>
      <c r="CO51" s="1">
        <v>58541</v>
      </c>
      <c r="CP51" s="1">
        <v>87000</v>
      </c>
      <c r="CQ51" s="1">
        <v>58700</v>
      </c>
      <c r="CR51" s="1">
        <v>88958</v>
      </c>
      <c r="CS51" s="1">
        <v>43285</v>
      </c>
      <c r="CT51" s="1">
        <v>34352</v>
      </c>
      <c r="CU51" s="1">
        <v>60000</v>
      </c>
      <c r="CV51" s="1">
        <v>55620</v>
      </c>
      <c r="CW51" s="1">
        <v>40000</v>
      </c>
      <c r="CX51" s="41">
        <v>55000</v>
      </c>
      <c r="CY51" s="1">
        <v>72726</v>
      </c>
      <c r="CZ51" s="1">
        <v>64890</v>
      </c>
      <c r="DA51" s="1">
        <v>81300</v>
      </c>
      <c r="DB51" s="1">
        <v>48431</v>
      </c>
      <c r="DC51" s="1">
        <v>54877</v>
      </c>
      <c r="DD51" s="1">
        <v>73939</v>
      </c>
      <c r="DE51" s="1">
        <v>45939</v>
      </c>
      <c r="DF51" s="1">
        <v>51000</v>
      </c>
      <c r="DG51" s="1">
        <v>59500</v>
      </c>
      <c r="DH51" s="1">
        <v>95067</v>
      </c>
      <c r="DI51" s="1">
        <v>52250</v>
      </c>
      <c r="DJ51" s="1">
        <v>107500</v>
      </c>
      <c r="DK51" s="1">
        <v>55050</v>
      </c>
      <c r="DL51" s="1">
        <v>58716</v>
      </c>
      <c r="DM51" s="1">
        <v>60864</v>
      </c>
      <c r="DN51" s="1">
        <v>58600</v>
      </c>
      <c r="DO51" s="1">
        <v>80000</v>
      </c>
      <c r="DP51" s="1">
        <v>61902</v>
      </c>
      <c r="DQ51" s="1">
        <v>57995</v>
      </c>
      <c r="DR51" s="1">
        <v>51900</v>
      </c>
      <c r="DS51" s="1">
        <v>83028</v>
      </c>
      <c r="DT51" s="1">
        <v>64500</v>
      </c>
      <c r="DU51" s="1">
        <v>71400</v>
      </c>
      <c r="DV51" s="1">
        <v>52242</v>
      </c>
      <c r="DW51" s="1">
        <v>67488</v>
      </c>
      <c r="DX51" s="1">
        <v>100000</v>
      </c>
      <c r="DY51" s="1">
        <v>65700</v>
      </c>
      <c r="DZ51" s="1">
        <v>55500</v>
      </c>
      <c r="EA51" s="1">
        <v>75712</v>
      </c>
      <c r="EB51" s="1">
        <v>54945</v>
      </c>
      <c r="EC51" s="1">
        <v>40788</v>
      </c>
      <c r="ED51" s="1">
        <v>67000</v>
      </c>
      <c r="EE51" s="1">
        <v>62652</v>
      </c>
      <c r="EF51" s="1">
        <v>58765</v>
      </c>
      <c r="EG51" s="1">
        <v>54600</v>
      </c>
      <c r="EH51" s="1">
        <v>65325</v>
      </c>
      <c r="EI51" s="1">
        <v>47850</v>
      </c>
      <c r="EJ51" s="1">
        <v>55856</v>
      </c>
      <c r="EK51" s="1">
        <v>131500</v>
      </c>
      <c r="EL51" s="1">
        <v>52800</v>
      </c>
      <c r="EM51" s="1">
        <f>43026+43026</f>
        <v>86052</v>
      </c>
      <c r="EN51" s="1">
        <v>73500</v>
      </c>
      <c r="EO51" s="1">
        <v>70000</v>
      </c>
      <c r="EP51" s="1">
        <v>75000</v>
      </c>
      <c r="EQ51" s="1">
        <v>70000</v>
      </c>
      <c r="ER51" s="1">
        <v>76493</v>
      </c>
      <c r="ES51" s="1">
        <v>98908</v>
      </c>
      <c r="ET51" s="1">
        <v>77614</v>
      </c>
      <c r="EU51" s="1">
        <f>70117+15392</f>
        <v>85509</v>
      </c>
      <c r="EV51" s="18">
        <v>75013</v>
      </c>
      <c r="EW51" s="1">
        <v>71059</v>
      </c>
      <c r="EX51" s="1">
        <v>103216</v>
      </c>
      <c r="EY51" s="1">
        <v>82000</v>
      </c>
      <c r="EZ51" s="1">
        <v>94000</v>
      </c>
      <c r="FA51" s="1">
        <v>83232</v>
      </c>
      <c r="FB51" s="1">
        <v>98988</v>
      </c>
      <c r="FC51" s="1">
        <v>96580</v>
      </c>
      <c r="FD51" s="1">
        <v>103432</v>
      </c>
      <c r="FE51" s="1">
        <v>114150</v>
      </c>
      <c r="FF51" s="1">
        <v>94640</v>
      </c>
      <c r="FG51" s="1">
        <v>118000</v>
      </c>
      <c r="FH51" s="1">
        <v>220912</v>
      </c>
      <c r="FI51" s="1">
        <v>105000</v>
      </c>
      <c r="FJ51" s="1">
        <v>76560</v>
      </c>
      <c r="FK51" s="2">
        <f>99949+36391</f>
        <v>136340</v>
      </c>
      <c r="FL51" s="1">
        <v>113547</v>
      </c>
      <c r="FM51" s="1">
        <v>78000</v>
      </c>
      <c r="FN51" s="1">
        <v>100846</v>
      </c>
      <c r="FO51" s="1">
        <v>119373</v>
      </c>
      <c r="FP51" s="1">
        <v>124800</v>
      </c>
      <c r="FQ51" s="1">
        <v>85075</v>
      </c>
      <c r="FR51" s="1">
        <v>100785</v>
      </c>
      <c r="FS51" s="1">
        <v>167647</v>
      </c>
      <c r="FT51" s="1">
        <v>97214</v>
      </c>
      <c r="FU51" s="1">
        <v>88292</v>
      </c>
      <c r="FV51" s="41">
        <v>155299</v>
      </c>
      <c r="FW51" s="1">
        <v>51500</v>
      </c>
      <c r="FX51" s="1">
        <v>136269</v>
      </c>
      <c r="FY51" s="1">
        <v>165330</v>
      </c>
      <c r="FZ51" s="1">
        <v>200000</v>
      </c>
      <c r="GA51" s="1">
        <v>140000</v>
      </c>
      <c r="GB51" s="1">
        <v>283509</v>
      </c>
      <c r="GC51" s="1">
        <v>180000</v>
      </c>
      <c r="GD51" s="1">
        <v>168000</v>
      </c>
      <c r="GE51" s="1">
        <v>140933</v>
      </c>
      <c r="GF51" s="1">
        <v>175846</v>
      </c>
      <c r="GG51" s="1">
        <v>296940</v>
      </c>
      <c r="GH51" s="1">
        <v>160925</v>
      </c>
      <c r="GI51" s="1">
        <f>116987+117539</f>
        <v>234526</v>
      </c>
      <c r="GJ51" s="18">
        <v>174000</v>
      </c>
      <c r="GK51" s="1">
        <v>250000</v>
      </c>
      <c r="GL51" s="1">
        <v>187500</v>
      </c>
      <c r="GM51" s="1">
        <v>407373</v>
      </c>
      <c r="GN51" s="1">
        <f>20695+190648</f>
        <v>211343</v>
      </c>
      <c r="GO51" s="1">
        <v>704604</v>
      </c>
      <c r="GP51" s="1">
        <v>267150</v>
      </c>
      <c r="GQ51" s="1"/>
    </row>
    <row r="52" spans="1:199" s="2" customFormat="1" ht="15">
      <c r="A52" s="2" t="s">
        <v>35</v>
      </c>
      <c r="B52" s="40"/>
      <c r="C52" s="40">
        <v>305</v>
      </c>
      <c r="D52" s="1">
        <f>770+400</f>
        <v>1170</v>
      </c>
      <c r="E52" s="1">
        <v>400</v>
      </c>
      <c r="F52" s="1"/>
      <c r="G52" s="1">
        <f>53+390</f>
        <v>443</v>
      </c>
      <c r="H52" s="1">
        <v>450</v>
      </c>
      <c r="I52" s="1">
        <f>5837-3679-1000</f>
        <v>1158</v>
      </c>
      <c r="J52" s="1">
        <v>2489</v>
      </c>
      <c r="K52" s="1">
        <v>995</v>
      </c>
      <c r="L52" s="1">
        <f>15785+450</f>
        <v>16235</v>
      </c>
      <c r="M52" s="1"/>
      <c r="N52" s="1">
        <f>665+6101+2165</f>
        <v>8931</v>
      </c>
      <c r="O52" s="1">
        <f>650+550</f>
        <v>1200</v>
      </c>
      <c r="P52" s="1">
        <f>390-670+1000</f>
        <v>720</v>
      </c>
      <c r="Q52" s="1">
        <f>6034+725</f>
        <v>6759</v>
      </c>
      <c r="R52" s="1">
        <f>690+17669</f>
        <v>18359</v>
      </c>
      <c r="S52" s="1">
        <v>3550</v>
      </c>
      <c r="T52" s="1">
        <f>4737-3387</f>
        <v>1350</v>
      </c>
      <c r="U52" s="1">
        <f>975+6836</f>
        <v>7811</v>
      </c>
      <c r="V52" s="1">
        <f>468+2953</f>
        <v>3421</v>
      </c>
      <c r="W52" s="1">
        <v>1380</v>
      </c>
      <c r="X52" s="1">
        <f>6772-1000</f>
        <v>5772</v>
      </c>
      <c r="Y52" s="1">
        <f>385+2433</f>
        <v>2818</v>
      </c>
      <c r="Z52" s="1">
        <v>550</v>
      </c>
      <c r="AA52" s="1">
        <v>12411</v>
      </c>
      <c r="AB52" s="1">
        <v>2067</v>
      </c>
      <c r="AC52" s="1">
        <f>6186-8177</f>
        <v>-1991</v>
      </c>
      <c r="AD52" s="1">
        <f>3988+299-450</f>
        <v>3837</v>
      </c>
      <c r="AE52" s="1">
        <f>848+100</f>
        <v>948</v>
      </c>
      <c r="AF52" s="1">
        <f>738+11651+5892</f>
        <v>18281</v>
      </c>
      <c r="AG52" s="1">
        <v>1300</v>
      </c>
      <c r="AH52" s="1">
        <f>7680+2036</f>
        <v>9716</v>
      </c>
      <c r="AI52" s="1">
        <f>18937-1490</f>
        <v>17447</v>
      </c>
      <c r="AJ52" s="1">
        <v>342</v>
      </c>
      <c r="AK52" s="1">
        <f>1388+3491</f>
        <v>4879</v>
      </c>
      <c r="AL52" s="1">
        <f>1518+1090</f>
        <v>2608</v>
      </c>
      <c r="AM52" s="1">
        <f>1529+400</f>
        <v>1929</v>
      </c>
      <c r="AN52" s="1">
        <v>16478</v>
      </c>
      <c r="AO52" s="1">
        <f>2408+450</f>
        <v>2858</v>
      </c>
      <c r="AP52" s="1">
        <f>80112+13316</f>
        <v>93428</v>
      </c>
      <c r="AQ52" s="1">
        <f>2432+325</f>
        <v>2757</v>
      </c>
      <c r="AR52" s="1">
        <v>1113</v>
      </c>
      <c r="AS52" s="1">
        <f>-3420+13011+8651</f>
        <v>18242</v>
      </c>
      <c r="AT52" s="41">
        <f>380+100</f>
        <v>480</v>
      </c>
      <c r="AU52" s="1">
        <f>22348+4690</f>
        <v>27038</v>
      </c>
      <c r="AV52" s="1">
        <f>13410+15845-50+1</f>
        <v>29206</v>
      </c>
      <c r="AW52" s="1">
        <f>17231-1276+425</f>
        <v>16380</v>
      </c>
      <c r="AX52" s="1">
        <f>1154+1950</f>
        <v>3104</v>
      </c>
      <c r="AY52" s="1">
        <v>4204</v>
      </c>
      <c r="AZ52" s="1">
        <f>3224+5560</f>
        <v>8784</v>
      </c>
      <c r="BA52" s="1">
        <f>5037+350</f>
        <v>5387</v>
      </c>
      <c r="BB52" s="18">
        <v>6982</v>
      </c>
      <c r="BC52" s="18">
        <v>400</v>
      </c>
      <c r="BD52" s="1">
        <f>18525+3565</f>
        <v>22090</v>
      </c>
      <c r="BE52" s="1">
        <f>-5172+1081+23606</f>
        <v>19515</v>
      </c>
      <c r="BF52" s="1">
        <f>450+3555</f>
        <v>4005</v>
      </c>
      <c r="BG52" s="1">
        <f>2093+4222</f>
        <v>6315</v>
      </c>
      <c r="BH52" s="1">
        <f>23411+2128-5355</f>
        <v>20184</v>
      </c>
      <c r="BI52" s="1">
        <f>3025+300</f>
        <v>3325</v>
      </c>
      <c r="BJ52" s="1">
        <v>10178</v>
      </c>
      <c r="BK52" s="1">
        <f>2643+1100</f>
        <v>3743</v>
      </c>
      <c r="BL52" s="1">
        <f>6850+450</f>
        <v>7300</v>
      </c>
      <c r="BM52" s="1">
        <f>48267+450-36986</f>
        <v>11731</v>
      </c>
      <c r="BN52" s="1">
        <f>5242+7735+4450</f>
        <v>17427</v>
      </c>
      <c r="BO52" s="1">
        <v>13594</v>
      </c>
      <c r="BP52" s="1">
        <f>4645+6876+225</f>
        <v>11746</v>
      </c>
      <c r="BQ52" s="1">
        <f>2060+550</f>
        <v>2610</v>
      </c>
      <c r="BR52" s="1">
        <v>1200</v>
      </c>
      <c r="BS52" s="1">
        <f>-412+475</f>
        <v>63</v>
      </c>
      <c r="BT52" s="1">
        <f>4285+500</f>
        <v>4785</v>
      </c>
      <c r="BU52" s="1">
        <f>6000+5452-625</f>
        <v>10827</v>
      </c>
      <c r="BV52" s="1">
        <f>37440+4534</f>
        <v>41974</v>
      </c>
      <c r="BW52" s="1">
        <f>23776+440</f>
        <v>24216</v>
      </c>
      <c r="BX52" s="1">
        <v>6106</v>
      </c>
      <c r="BY52" s="1">
        <f>60226+31365</f>
        <v>91591</v>
      </c>
      <c r="BZ52" s="1">
        <v>117832</v>
      </c>
      <c r="CA52" s="1">
        <f>374+2834</f>
        <v>3208</v>
      </c>
      <c r="CB52" s="1">
        <f>1620+1872</f>
        <v>3492</v>
      </c>
      <c r="CC52" s="1">
        <v>20056</v>
      </c>
      <c r="CD52" s="1">
        <f>32254+2706-2663</f>
        <v>32297</v>
      </c>
      <c r="CE52" s="1">
        <v>32732</v>
      </c>
      <c r="CF52" s="1">
        <f>39271+450</f>
        <v>39721</v>
      </c>
      <c r="CG52" s="1">
        <f>1032+400</f>
        <v>1432</v>
      </c>
      <c r="CH52" s="1">
        <f>-2333+62672+11194</f>
        <v>71533</v>
      </c>
      <c r="CI52" s="1">
        <f>2722+300</f>
        <v>3022</v>
      </c>
      <c r="CJ52" s="1">
        <f>5097+9014</f>
        <v>14111</v>
      </c>
      <c r="CK52" s="1">
        <f>2915+550</f>
        <v>3465</v>
      </c>
      <c r="CL52" s="1">
        <f>175+550-500</f>
        <v>225</v>
      </c>
      <c r="CM52" s="1">
        <f>4244+400</f>
        <v>4644</v>
      </c>
      <c r="CN52" s="1">
        <f>3297+450</f>
        <v>3747</v>
      </c>
      <c r="CO52" s="1">
        <f>28510+600</f>
        <v>29110</v>
      </c>
      <c r="CP52" s="1">
        <f>17914+6633</f>
        <v>24547</v>
      </c>
      <c r="CQ52" s="1">
        <v>19473</v>
      </c>
      <c r="CR52" s="1">
        <f>11929+550</f>
        <v>12479</v>
      </c>
      <c r="CS52" s="1">
        <v>5020</v>
      </c>
      <c r="CT52" s="1">
        <f>18341+2840</f>
        <v>21181</v>
      </c>
      <c r="CU52" s="1">
        <f>4266+300</f>
        <v>4566</v>
      </c>
      <c r="CV52" s="1">
        <f>59817-50297</f>
        <v>9520</v>
      </c>
      <c r="CW52" s="1">
        <f>4269+3079</f>
        <v>7348</v>
      </c>
      <c r="CX52" s="41">
        <v>2100</v>
      </c>
      <c r="CY52" s="1">
        <v>43572</v>
      </c>
      <c r="CZ52" s="1">
        <f>2371+6674</f>
        <v>9045</v>
      </c>
      <c r="DA52" s="1">
        <f>13612+10351</f>
        <v>23963</v>
      </c>
      <c r="DB52" s="1">
        <f>5679+325</f>
        <v>6004</v>
      </c>
      <c r="DC52" s="1">
        <f>6489+12656</f>
        <v>19145</v>
      </c>
      <c r="DD52" s="1">
        <f>2111+4723</f>
        <v>6834</v>
      </c>
      <c r="DE52" s="1">
        <f>3796+550</f>
        <v>4346</v>
      </c>
      <c r="DF52" s="1">
        <v>8106</v>
      </c>
      <c r="DG52" s="1">
        <v>9802</v>
      </c>
      <c r="DH52" s="1">
        <v>42852</v>
      </c>
      <c r="DI52" s="1">
        <f>23295+300</f>
        <v>23595</v>
      </c>
      <c r="DJ52" s="1">
        <v>7750</v>
      </c>
      <c r="DK52" s="1">
        <f>79471+475</f>
        <v>79946</v>
      </c>
      <c r="DL52" s="1">
        <v>24675</v>
      </c>
      <c r="DM52" s="1">
        <f>35470+2980</f>
        <v>38450</v>
      </c>
      <c r="DN52" s="1">
        <f>2220-210+7988</f>
        <v>9998</v>
      </c>
      <c r="DO52" s="1">
        <f>3440+450</f>
        <v>3890</v>
      </c>
      <c r="DP52" s="1">
        <f>9599+8716</f>
        <v>18315</v>
      </c>
      <c r="DQ52" s="1">
        <f>1029+2814</f>
        <v>3843</v>
      </c>
      <c r="DR52" s="1">
        <f>15849+4675</f>
        <v>20524</v>
      </c>
      <c r="DS52" s="1">
        <f>80453+450</f>
        <v>80903</v>
      </c>
      <c r="DT52" s="1">
        <f>12681+450</f>
        <v>13131</v>
      </c>
      <c r="DU52" s="1">
        <v>12939</v>
      </c>
      <c r="DV52" s="1">
        <v>14777</v>
      </c>
      <c r="DW52" s="1">
        <v>45429</v>
      </c>
      <c r="DX52" s="1">
        <v>9076</v>
      </c>
      <c r="DY52" s="1">
        <f>6038+11013</f>
        <v>17051</v>
      </c>
      <c r="DZ52" s="1">
        <f>19323+8493</f>
        <v>27816</v>
      </c>
      <c r="EA52" s="1">
        <f>4072+5424-1178</f>
        <v>8318</v>
      </c>
      <c r="EB52" s="1">
        <f>44889-7977</f>
        <v>36912</v>
      </c>
      <c r="EC52" s="1">
        <f>2507+4555</f>
        <v>7062</v>
      </c>
      <c r="ED52" s="1">
        <f>19126-10629</f>
        <v>8497</v>
      </c>
      <c r="EE52" s="1">
        <f>45614+14313-16064</f>
        <v>43863</v>
      </c>
      <c r="EF52" s="1">
        <v>48369</v>
      </c>
      <c r="EG52" s="1">
        <v>4000</v>
      </c>
      <c r="EH52" s="1">
        <f>32660+1448</f>
        <v>34108</v>
      </c>
      <c r="EI52" s="1">
        <v>56070</v>
      </c>
      <c r="EJ52" s="1">
        <f>10263+9847</f>
        <v>20110</v>
      </c>
      <c r="EK52" s="1">
        <f>18704+7211</f>
        <v>25915</v>
      </c>
      <c r="EL52" s="1">
        <v>43772</v>
      </c>
      <c r="EM52" s="1">
        <f>9799+9915+500</f>
        <v>20214</v>
      </c>
      <c r="EN52" s="1">
        <v>572</v>
      </c>
      <c r="EO52" s="1">
        <f>7107+575</f>
        <v>7682</v>
      </c>
      <c r="EP52" s="1">
        <f>17159+550+3542</f>
        <v>21251</v>
      </c>
      <c r="EQ52" s="1">
        <f>8403+12784+150</f>
        <v>21337</v>
      </c>
      <c r="ER52" s="1">
        <f>2548+14525+11162</f>
        <v>28235</v>
      </c>
      <c r="ES52" s="1">
        <f>16849+400</f>
        <v>17249</v>
      </c>
      <c r="ET52" s="1">
        <f>61967+4954-5117</f>
        <v>61804</v>
      </c>
      <c r="EU52" s="1">
        <f>13895+10749-10127</f>
        <v>14517</v>
      </c>
      <c r="EV52" s="18">
        <f>-1788+2135+42199</f>
        <v>42546</v>
      </c>
      <c r="EW52" s="1">
        <f>4907+21888+27866</f>
        <v>54661</v>
      </c>
      <c r="EX52" s="1">
        <f>6363-2441</f>
        <v>3922</v>
      </c>
      <c r="EY52" s="1">
        <f>24339+35351</f>
        <v>59690</v>
      </c>
      <c r="EZ52" s="1">
        <f>9677+4008</f>
        <v>13685</v>
      </c>
      <c r="FA52" s="1">
        <f>5775+3968</f>
        <v>9743</v>
      </c>
      <c r="FB52" s="1">
        <f>9873+550</f>
        <v>10423</v>
      </c>
      <c r="FC52" s="1">
        <f>3706+8930</f>
        <v>12636</v>
      </c>
      <c r="FD52" s="1">
        <f>37906+550</f>
        <v>38456</v>
      </c>
      <c r="FE52" s="1">
        <f>68236+3241-6894-5019</f>
        <v>59564</v>
      </c>
      <c r="FF52" s="1">
        <f>113690+14732-17925</f>
        <v>110497</v>
      </c>
      <c r="FG52" s="1">
        <f>11095-4548</f>
        <v>6547</v>
      </c>
      <c r="FH52" s="1">
        <f>216418+107945+44714-9012</f>
        <v>360065</v>
      </c>
      <c r="FI52" s="1">
        <f>6970+34860</f>
        <v>41830</v>
      </c>
      <c r="FJ52" s="1">
        <f>5885+550</f>
        <v>6435</v>
      </c>
      <c r="FK52" s="2">
        <f>9254+350</f>
        <v>9604</v>
      </c>
      <c r="FL52" s="1">
        <f>12807+35610+11255</f>
        <v>59672</v>
      </c>
      <c r="FM52" s="1">
        <f>28104+544</f>
        <v>28648</v>
      </c>
      <c r="FN52" s="1">
        <f>-16771+85306+390</f>
        <v>68925</v>
      </c>
      <c r="FO52" s="1">
        <f>35291+475</f>
        <v>35766</v>
      </c>
      <c r="FP52" s="1">
        <f>42855+300</f>
        <v>43155</v>
      </c>
      <c r="FQ52" s="1">
        <f>12714+7433</f>
        <v>20147</v>
      </c>
      <c r="FR52" s="1">
        <f>18516+6698</f>
        <v>25214</v>
      </c>
      <c r="FS52" s="1">
        <f>21562-5684</f>
        <v>15878</v>
      </c>
      <c r="FT52" s="1">
        <f>62894+350+7738-32983</f>
        <v>37999</v>
      </c>
      <c r="FU52" s="1">
        <v>43067</v>
      </c>
      <c r="FV52" s="41">
        <f>6926+8137-4352</f>
        <v>10711</v>
      </c>
      <c r="FW52" s="1">
        <f>231+7724+414</f>
        <v>8369</v>
      </c>
      <c r="FX52" s="1">
        <f>87992+400</f>
        <v>88392</v>
      </c>
      <c r="FY52" s="1">
        <f>70700+100</f>
        <v>70800</v>
      </c>
      <c r="FZ52" s="1">
        <v>31176</v>
      </c>
      <c r="GA52" s="1">
        <f>43139+72395+950</f>
        <v>116484</v>
      </c>
      <c r="GB52" s="1">
        <v>67575</v>
      </c>
      <c r="GC52" s="1">
        <f>86326+400</f>
        <v>86726</v>
      </c>
      <c r="GD52" s="1">
        <f>100352+20550</f>
        <v>120902</v>
      </c>
      <c r="GE52" s="1">
        <f>29029+3547</f>
        <v>32576</v>
      </c>
      <c r="GF52" s="1">
        <v>12854</v>
      </c>
      <c r="GG52" s="1">
        <v>85394</v>
      </c>
      <c r="GH52" s="1">
        <f>52795+350-1688</f>
        <v>51457</v>
      </c>
      <c r="GI52" s="1">
        <f>66555+34820+385</f>
        <v>101760</v>
      </c>
      <c r="GJ52" s="18">
        <f>15435+550</f>
        <v>15985</v>
      </c>
      <c r="GK52" s="1">
        <f>11368+8706</f>
        <v>20074</v>
      </c>
      <c r="GL52" s="1">
        <f>4282+28306-500</f>
        <v>32088</v>
      </c>
      <c r="GM52" s="1">
        <f>55686+39931</f>
        <v>95617</v>
      </c>
      <c r="GN52" s="1">
        <f>81+44300+5907</f>
        <v>50288</v>
      </c>
      <c r="GO52" s="1">
        <v>51291</v>
      </c>
      <c r="GP52" s="1">
        <f>71514+23270</f>
        <v>94784</v>
      </c>
      <c r="GQ52" s="1"/>
    </row>
    <row r="53" spans="1:199" s="2" customFormat="1" ht="15">
      <c r="A53" s="2" t="s">
        <v>36</v>
      </c>
      <c r="B53" s="40">
        <v>5903</v>
      </c>
      <c r="C53" s="40">
        <v>9000</v>
      </c>
      <c r="D53" s="1">
        <v>7053</v>
      </c>
      <c r="E53" s="1">
        <v>8200</v>
      </c>
      <c r="F53" s="1">
        <v>5500</v>
      </c>
      <c r="G53" s="1">
        <v>7876</v>
      </c>
      <c r="H53" s="1">
        <v>6376</v>
      </c>
      <c r="I53" s="1">
        <v>9226</v>
      </c>
      <c r="J53" s="1">
        <v>9576</v>
      </c>
      <c r="K53" s="1">
        <v>8570</v>
      </c>
      <c r="L53" s="1">
        <v>11768</v>
      </c>
      <c r="M53" s="1">
        <v>8830</v>
      </c>
      <c r="N53" s="1">
        <f>18549+6500</f>
        <v>25049</v>
      </c>
      <c r="O53" s="1">
        <v>9300</v>
      </c>
      <c r="P53" s="1">
        <v>5800</v>
      </c>
      <c r="Q53" s="1">
        <v>11025</v>
      </c>
      <c r="R53" s="1">
        <v>9599</v>
      </c>
      <c r="S53" s="1">
        <v>9599</v>
      </c>
      <c r="T53" s="1">
        <v>9200</v>
      </c>
      <c r="U53" s="1">
        <v>8076</v>
      </c>
      <c r="V53" s="1">
        <v>10802</v>
      </c>
      <c r="W53" s="1">
        <v>9291</v>
      </c>
      <c r="X53" s="1">
        <v>9399</v>
      </c>
      <c r="Y53" s="1">
        <v>9357</v>
      </c>
      <c r="Z53" s="1">
        <v>10300</v>
      </c>
      <c r="AA53" s="1">
        <v>10522</v>
      </c>
      <c r="AB53" s="1">
        <v>10099</v>
      </c>
      <c r="AC53" s="1">
        <v>9899</v>
      </c>
      <c r="AD53" s="1">
        <v>11237</v>
      </c>
      <c r="AE53" s="1">
        <v>10099</v>
      </c>
      <c r="AF53" s="1">
        <f>6253+11776-2500</f>
        <v>15529</v>
      </c>
      <c r="AG53" s="1">
        <v>10376</v>
      </c>
      <c r="AH53" s="1">
        <f>10200+9800</f>
        <v>20000</v>
      </c>
      <c r="AI53" s="1">
        <v>12000</v>
      </c>
      <c r="AJ53" s="1">
        <v>10399</v>
      </c>
      <c r="AK53" s="1">
        <v>11422</v>
      </c>
      <c r="AL53" s="1">
        <v>10899</v>
      </c>
      <c r="AM53" s="1">
        <v>10576</v>
      </c>
      <c r="AN53" s="1">
        <f>12691+8253</f>
        <v>20944</v>
      </c>
      <c r="AO53" s="1">
        <v>10000</v>
      </c>
      <c r="AP53" s="1">
        <f>16767-2767</f>
        <v>14000</v>
      </c>
      <c r="AQ53" s="1">
        <v>10350</v>
      </c>
      <c r="AR53" s="1">
        <v>11076</v>
      </c>
      <c r="AS53" s="1">
        <v>15599</v>
      </c>
      <c r="AT53" s="41">
        <v>10000</v>
      </c>
      <c r="AU53" s="1">
        <v>11791</v>
      </c>
      <c r="AV53" s="1">
        <v>9000</v>
      </c>
      <c r="AW53" s="1">
        <v>12253</v>
      </c>
      <c r="AX53" s="1">
        <v>10827</v>
      </c>
      <c r="AY53" s="1">
        <v>11999</v>
      </c>
      <c r="AZ53" s="1">
        <v>11661</v>
      </c>
      <c r="BA53" s="1">
        <v>11352</v>
      </c>
      <c r="BB53" s="18">
        <v>9576</v>
      </c>
      <c r="BC53" s="18">
        <v>10276</v>
      </c>
      <c r="BD53" s="1">
        <v>15906</v>
      </c>
      <c r="BE53" s="1">
        <v>11099</v>
      </c>
      <c r="BF53" s="1">
        <v>11869</v>
      </c>
      <c r="BG53" s="1">
        <v>10522</v>
      </c>
      <c r="BH53" s="1">
        <v>11276</v>
      </c>
      <c r="BI53" s="1">
        <v>11503</v>
      </c>
      <c r="BJ53" s="1">
        <v>14299</v>
      </c>
      <c r="BK53" s="1">
        <v>10524</v>
      </c>
      <c r="BL53" s="1">
        <v>14725</v>
      </c>
      <c r="BM53" s="1">
        <v>13130</v>
      </c>
      <c r="BN53" s="1">
        <v>10853</v>
      </c>
      <c r="BO53" s="1">
        <v>12250</v>
      </c>
      <c r="BP53" s="1">
        <f>12276+7023</f>
        <v>19299</v>
      </c>
      <c r="BQ53" s="1">
        <v>11622</v>
      </c>
      <c r="BR53" s="1">
        <v>10876</v>
      </c>
      <c r="BS53" s="1">
        <v>14199</v>
      </c>
      <c r="BT53" s="1">
        <v>11599</v>
      </c>
      <c r="BU53" s="1">
        <v>9800</v>
      </c>
      <c r="BV53" s="1">
        <v>11399</v>
      </c>
      <c r="BW53" s="1">
        <v>11675</v>
      </c>
      <c r="BX53" s="1">
        <v>16099</v>
      </c>
      <c r="BY53" s="1">
        <v>13276</v>
      </c>
      <c r="BZ53" s="1">
        <v>11622</v>
      </c>
      <c r="CA53" s="1">
        <v>11300</v>
      </c>
      <c r="CB53" s="1">
        <v>11345</v>
      </c>
      <c r="CC53" s="1">
        <v>11799</v>
      </c>
      <c r="CD53" s="1">
        <v>11000</v>
      </c>
      <c r="CE53" s="1">
        <v>11500</v>
      </c>
      <c r="CF53" s="1">
        <v>11000</v>
      </c>
      <c r="CG53" s="1">
        <v>10076</v>
      </c>
      <c r="CH53" s="1">
        <v>11322</v>
      </c>
      <c r="CI53" s="1">
        <f>15037-2338</f>
        <v>12699</v>
      </c>
      <c r="CJ53" s="1">
        <v>11930</v>
      </c>
      <c r="CK53" s="1">
        <v>11000</v>
      </c>
      <c r="CL53" s="1">
        <v>10122</v>
      </c>
      <c r="CM53" s="1">
        <v>12130</v>
      </c>
      <c r="CN53" s="1">
        <v>11645</v>
      </c>
      <c r="CO53" s="1">
        <v>12614</v>
      </c>
      <c r="CP53" s="1">
        <v>12977</v>
      </c>
      <c r="CQ53" s="1">
        <v>11376</v>
      </c>
      <c r="CR53" s="1">
        <v>16000</v>
      </c>
      <c r="CS53" s="1">
        <v>14053</v>
      </c>
      <c r="CT53" s="1">
        <v>14690</v>
      </c>
      <c r="CU53" s="1">
        <v>14500</v>
      </c>
      <c r="CV53" s="1">
        <v>11922</v>
      </c>
      <c r="CW53" s="1">
        <v>13199</v>
      </c>
      <c r="CX53" s="41">
        <v>11353</v>
      </c>
      <c r="CY53" s="1">
        <v>14053</v>
      </c>
      <c r="CZ53" s="1">
        <v>10500</v>
      </c>
      <c r="DA53" s="1">
        <v>13022</v>
      </c>
      <c r="DB53" s="1">
        <v>14500</v>
      </c>
      <c r="DC53" s="1">
        <v>13576</v>
      </c>
      <c r="DD53" s="1">
        <v>13799</v>
      </c>
      <c r="DE53" s="1">
        <v>13349</v>
      </c>
      <c r="DF53" s="1">
        <v>11676</v>
      </c>
      <c r="DG53" s="1">
        <v>12072</v>
      </c>
      <c r="DH53" s="1">
        <v>14145</v>
      </c>
      <c r="DI53" s="1">
        <v>12576</v>
      </c>
      <c r="DJ53" s="1">
        <v>14626</v>
      </c>
      <c r="DK53" s="1">
        <v>12691</v>
      </c>
      <c r="DL53" s="1">
        <v>16653</v>
      </c>
      <c r="DM53" s="1">
        <v>13200</v>
      </c>
      <c r="DN53" s="1">
        <v>13205</v>
      </c>
      <c r="DO53" s="1">
        <v>15168</v>
      </c>
      <c r="DP53" s="1">
        <v>17725</v>
      </c>
      <c r="DQ53" s="1">
        <v>14079</v>
      </c>
      <c r="DR53" s="1">
        <v>13899</v>
      </c>
      <c r="DS53" s="1">
        <v>14345</v>
      </c>
      <c r="DT53" s="1">
        <v>13145</v>
      </c>
      <c r="DU53" s="1">
        <v>14326</v>
      </c>
      <c r="DV53" s="1">
        <v>12000</v>
      </c>
      <c r="DW53" s="1">
        <v>12099</v>
      </c>
      <c r="DX53" s="1">
        <v>14849</v>
      </c>
      <c r="DY53" s="1">
        <v>13945</v>
      </c>
      <c r="DZ53" s="1">
        <v>13500</v>
      </c>
      <c r="EA53" s="1">
        <v>12402</v>
      </c>
      <c r="EB53" s="1">
        <v>12622</v>
      </c>
      <c r="EC53" s="1">
        <v>13822</v>
      </c>
      <c r="ED53" s="1">
        <v>10800</v>
      </c>
      <c r="EE53" s="1">
        <v>13441</v>
      </c>
      <c r="EF53" s="1">
        <v>13500</v>
      </c>
      <c r="EG53" s="1">
        <v>13099</v>
      </c>
      <c r="EH53" s="1">
        <v>14549</v>
      </c>
      <c r="EI53" s="1">
        <v>13030</v>
      </c>
      <c r="EJ53" s="1">
        <v>15222</v>
      </c>
      <c r="EK53" s="1">
        <v>16724</v>
      </c>
      <c r="EL53" s="1">
        <v>11500</v>
      </c>
      <c r="EM53" s="1">
        <f>15826+9899</f>
        <v>25725</v>
      </c>
      <c r="EN53" s="1">
        <v>13976</v>
      </c>
      <c r="EO53" s="1">
        <v>13376</v>
      </c>
      <c r="EP53" s="1">
        <v>17185</v>
      </c>
      <c r="EQ53" s="1">
        <v>14176</v>
      </c>
      <c r="ER53" s="1">
        <v>14000</v>
      </c>
      <c r="ES53" s="1">
        <v>15580</v>
      </c>
      <c r="ET53" s="1">
        <v>14760</v>
      </c>
      <c r="EU53" s="1">
        <f>13400+6500</f>
        <v>19900</v>
      </c>
      <c r="EV53" s="18">
        <v>15291</v>
      </c>
      <c r="EW53" s="1">
        <v>14000</v>
      </c>
      <c r="EX53" s="1">
        <v>15124</v>
      </c>
      <c r="EY53" s="1">
        <v>18199</v>
      </c>
      <c r="EZ53" s="1">
        <v>16622</v>
      </c>
      <c r="FA53" s="1">
        <v>14122</v>
      </c>
      <c r="FB53" s="1">
        <v>17553</v>
      </c>
      <c r="FC53" s="1">
        <v>15099</v>
      </c>
      <c r="FD53" s="1">
        <v>11669</v>
      </c>
      <c r="FE53" s="1">
        <v>19791</v>
      </c>
      <c r="FF53" s="1">
        <v>14122</v>
      </c>
      <c r="FG53" s="1">
        <v>14326</v>
      </c>
      <c r="FH53" s="1">
        <v>56645</v>
      </c>
      <c r="FI53" s="1">
        <v>18000</v>
      </c>
      <c r="FJ53" s="1">
        <v>14214</v>
      </c>
      <c r="FK53" s="2">
        <f>14000+7276</f>
        <v>21276</v>
      </c>
      <c r="FL53" s="1">
        <v>24600</v>
      </c>
      <c r="FM53" s="1">
        <v>13000</v>
      </c>
      <c r="FN53" s="1">
        <v>25722</v>
      </c>
      <c r="FO53" s="1">
        <v>19622</v>
      </c>
      <c r="FP53" s="1">
        <v>15000</v>
      </c>
      <c r="FQ53" s="1">
        <v>17145</v>
      </c>
      <c r="FR53" s="1">
        <v>18318</v>
      </c>
      <c r="FS53" s="1">
        <v>19510</v>
      </c>
      <c r="FT53" s="1">
        <v>21153</v>
      </c>
      <c r="FU53" s="1">
        <v>16291</v>
      </c>
      <c r="FV53" s="41">
        <v>15076</v>
      </c>
      <c r="FW53" s="1">
        <v>12500</v>
      </c>
      <c r="FX53" s="1">
        <v>20291</v>
      </c>
      <c r="FY53" s="1">
        <v>18500</v>
      </c>
      <c r="FZ53" s="1">
        <v>17395</v>
      </c>
      <c r="GA53" s="1">
        <v>26837</v>
      </c>
      <c r="GB53" s="1">
        <v>23023</v>
      </c>
      <c r="GC53" s="1">
        <v>22126</v>
      </c>
      <c r="GD53" s="1">
        <v>19145</v>
      </c>
      <c r="GE53" s="1">
        <v>21076</v>
      </c>
      <c r="GF53" s="1">
        <v>14622</v>
      </c>
      <c r="GG53" s="1">
        <v>25000</v>
      </c>
      <c r="GH53" s="1">
        <v>20775</v>
      </c>
      <c r="GI53" s="1">
        <f>20441+9053</f>
        <v>29494</v>
      </c>
      <c r="GJ53" s="18">
        <v>22868</v>
      </c>
      <c r="GK53" s="1">
        <v>21849</v>
      </c>
      <c r="GL53" s="1">
        <f>13500+500</f>
        <v>14000</v>
      </c>
      <c r="GM53" s="1">
        <v>26160</v>
      </c>
      <c r="GN53" s="1">
        <f>7500+15826</f>
        <v>23326</v>
      </c>
      <c r="GO53" s="1">
        <v>29987</v>
      </c>
      <c r="GP53" s="1">
        <v>26622</v>
      </c>
      <c r="GQ53" s="1"/>
    </row>
    <row r="54" spans="1:199" s="2" customFormat="1" ht="15">
      <c r="A54" s="2" t="s">
        <v>37</v>
      </c>
      <c r="B54" s="40">
        <v>299</v>
      </c>
      <c r="C54" s="40" t="s">
        <v>50</v>
      </c>
      <c r="D54" s="1"/>
      <c r="E54" s="1"/>
      <c r="F54" s="1">
        <v>665</v>
      </c>
      <c r="G54" s="1">
        <v>2336</v>
      </c>
      <c r="H54" s="1"/>
      <c r="I54" s="1">
        <f>7848+1000-7512</f>
        <v>1336</v>
      </c>
      <c r="J54" s="1">
        <f>2166+900</f>
        <v>3066</v>
      </c>
      <c r="K54" s="1">
        <v>1438</v>
      </c>
      <c r="L54" s="1">
        <f>3025+839</f>
        <v>3864</v>
      </c>
      <c r="M54" s="1">
        <f>1750+1000+3724</f>
        <v>6474</v>
      </c>
      <c r="N54" s="1">
        <f>500+13931-2254</f>
        <v>12177</v>
      </c>
      <c r="O54" s="1">
        <v>1410</v>
      </c>
      <c r="P54" s="1">
        <f>2498-1000</f>
        <v>1498</v>
      </c>
      <c r="Q54" s="1">
        <v>18408</v>
      </c>
      <c r="R54" s="1">
        <v>45</v>
      </c>
      <c r="S54" s="1">
        <v>2093</v>
      </c>
      <c r="T54" s="1"/>
      <c r="U54" s="1"/>
      <c r="V54" s="1">
        <f>6478+2525</f>
        <v>9003</v>
      </c>
      <c r="W54" s="1">
        <f>168+2066</f>
        <v>2234</v>
      </c>
      <c r="X54" s="1">
        <f>-564+1000</f>
        <v>436</v>
      </c>
      <c r="Y54" s="1">
        <f>600+240</f>
        <v>840</v>
      </c>
      <c r="Z54" s="1">
        <f>1806+11230-7236</f>
        <v>5800</v>
      </c>
      <c r="AA54" s="1">
        <f>3718+200</f>
        <v>3918</v>
      </c>
      <c r="AB54" s="1">
        <v>10609</v>
      </c>
      <c r="AC54" s="1"/>
      <c r="AD54" s="1">
        <f>22457+7698</f>
        <v>30155</v>
      </c>
      <c r="AE54" s="1">
        <v>581</v>
      </c>
      <c r="AF54" s="1">
        <f>1651+575+590+1</f>
        <v>2817</v>
      </c>
      <c r="AG54" s="1">
        <f>19151-6375</f>
        <v>12776</v>
      </c>
      <c r="AH54" s="1">
        <f>875+2103+387</f>
        <v>3365</v>
      </c>
      <c r="AI54" s="1">
        <f>12841+11040</f>
        <v>23881</v>
      </c>
      <c r="AJ54" s="1">
        <f>5552+1375</f>
        <v>6927</v>
      </c>
      <c r="AK54" s="1">
        <f>1792+1600</f>
        <v>3392</v>
      </c>
      <c r="AL54" s="1">
        <f>778+8152+162358-151482</f>
        <v>19806</v>
      </c>
      <c r="AM54" s="1">
        <f>9018+1910-7611</f>
        <v>3317</v>
      </c>
      <c r="AN54" s="1">
        <f>7367+300</f>
        <v>7667</v>
      </c>
      <c r="AO54" s="1">
        <f>11265+1863</f>
        <v>13128</v>
      </c>
      <c r="AP54" s="1">
        <f>10061+13855+2767</f>
        <v>26683</v>
      </c>
      <c r="AQ54" s="1">
        <f>3891+155</f>
        <v>4046</v>
      </c>
      <c r="AR54" s="1">
        <v>5421</v>
      </c>
      <c r="AS54" s="1">
        <f>8548+1614</f>
        <v>10162</v>
      </c>
      <c r="AT54" s="41">
        <f>6680-606</f>
        <v>6074</v>
      </c>
      <c r="AU54" s="1">
        <f>400+1294</f>
        <v>1694</v>
      </c>
      <c r="AV54" s="1">
        <f>15222+547</f>
        <v>15769</v>
      </c>
      <c r="AW54" s="1">
        <f>7728+500+1280-3360</f>
        <v>6148</v>
      </c>
      <c r="AX54" s="1">
        <v>13149</v>
      </c>
      <c r="AY54" s="1">
        <v>5355</v>
      </c>
      <c r="AZ54" s="1">
        <f>2010+240</f>
        <v>2250</v>
      </c>
      <c r="BA54" s="1">
        <f>111519+6471-57283+8300</f>
        <v>69007</v>
      </c>
      <c r="BB54" s="18">
        <v>8756</v>
      </c>
      <c r="BC54" s="18">
        <v>923</v>
      </c>
      <c r="BD54" s="1">
        <v>5300</v>
      </c>
      <c r="BE54" s="1">
        <v>2641</v>
      </c>
      <c r="BF54" s="1">
        <f>10599+5433-9430</f>
        <v>6602</v>
      </c>
      <c r="BG54" s="1">
        <f>4439+2417</f>
        <v>6856</v>
      </c>
      <c r="BH54" s="1">
        <f>16174+2936+3000</f>
        <v>22110</v>
      </c>
      <c r="BI54" s="1">
        <f>2950+6778</f>
        <v>9728</v>
      </c>
      <c r="BJ54" s="1">
        <f>54344+1775+450+1680-33084</f>
        <v>25165</v>
      </c>
      <c r="BK54" s="1">
        <f>2282+4088</f>
        <v>6370</v>
      </c>
      <c r="BL54" s="1">
        <f>19888+6774</f>
        <v>26662</v>
      </c>
      <c r="BM54" s="1">
        <f>3215+930</f>
        <v>4145</v>
      </c>
      <c r="BN54" s="1">
        <f>2776+1398</f>
        <v>4174</v>
      </c>
      <c r="BO54" s="1">
        <v>2295</v>
      </c>
      <c r="BP54" s="1">
        <f>5280+2017+2510+3206-1585+275</f>
        <v>11703</v>
      </c>
      <c r="BQ54" s="1">
        <f>10260+3855</f>
        <v>14115</v>
      </c>
      <c r="BR54" s="1">
        <f>1631+3021-1208</f>
        <v>3444</v>
      </c>
      <c r="BS54" s="1">
        <f>16147-13091+8237</f>
        <v>11293</v>
      </c>
      <c r="BT54" s="1"/>
      <c r="BU54" s="1">
        <v>500</v>
      </c>
      <c r="BV54" s="1">
        <v>5133</v>
      </c>
      <c r="BW54" s="1">
        <f>1764-11</f>
        <v>1753</v>
      </c>
      <c r="BX54" s="1">
        <f>4913+5326</f>
        <v>10239</v>
      </c>
      <c r="BY54" s="1">
        <f>26864+5602-6338</f>
        <v>26128</v>
      </c>
      <c r="BZ54" s="1">
        <f>28184+8537</f>
        <v>36721</v>
      </c>
      <c r="CA54" s="1">
        <f>5406+7663+10871</f>
        <v>23940</v>
      </c>
      <c r="CB54" s="1">
        <f>6399+6562</f>
        <v>12961</v>
      </c>
      <c r="CC54" s="1">
        <f>6658+5122</f>
        <v>11780</v>
      </c>
      <c r="CD54" s="1">
        <f>6276+6000</f>
        <v>12276</v>
      </c>
      <c r="CE54" s="1">
        <v>5560</v>
      </c>
      <c r="CF54" s="1">
        <f>850+21575+5725+5000</f>
        <v>33150</v>
      </c>
      <c r="CG54" s="1">
        <f>594-59</f>
        <v>535</v>
      </c>
      <c r="CH54" s="1">
        <f>16126-1605</f>
        <v>14521</v>
      </c>
      <c r="CI54" s="1">
        <f>9632+948+571+2338</f>
        <v>13489</v>
      </c>
      <c r="CJ54" s="1">
        <f>1146+600</f>
        <v>1746</v>
      </c>
      <c r="CK54" s="1">
        <f>300+2509</f>
        <v>2809</v>
      </c>
      <c r="CL54" s="1">
        <v>1833</v>
      </c>
      <c r="CM54" s="1">
        <f>867-602</f>
        <v>265</v>
      </c>
      <c r="CN54" s="1">
        <v>311</v>
      </c>
      <c r="CO54" s="1">
        <f>25161+5835</f>
        <v>30996</v>
      </c>
      <c r="CP54" s="1">
        <f>16768-8439</f>
        <v>8329</v>
      </c>
      <c r="CQ54" s="1">
        <f>3500+17322</f>
        <v>20822</v>
      </c>
      <c r="CR54" s="1">
        <f>2518+11395</f>
        <v>13913</v>
      </c>
      <c r="CS54" s="1">
        <v>7570</v>
      </c>
      <c r="CT54" s="1">
        <f>32414+5436</f>
        <v>37850</v>
      </c>
      <c r="CU54" s="1">
        <f>8348+9231</f>
        <v>17579</v>
      </c>
      <c r="CV54" s="1">
        <f>3068+12573-306</f>
        <v>15335</v>
      </c>
      <c r="CW54" s="1">
        <f>8875+2670-452</f>
        <v>11093</v>
      </c>
      <c r="CX54" s="41">
        <f>1803+773-2440</f>
        <v>136</v>
      </c>
      <c r="CY54" s="1">
        <f>1599+13858+1775-1392</f>
        <v>15840</v>
      </c>
      <c r="CZ54" s="1">
        <f>5803+1249</f>
        <v>7052</v>
      </c>
      <c r="DA54" s="1">
        <f>11296+5439-5625</f>
        <v>11110</v>
      </c>
      <c r="DB54" s="1">
        <f>2100+1329+6325-1299</f>
        <v>8455</v>
      </c>
      <c r="DC54" s="1">
        <f>9720+1956+1775</f>
        <v>13451</v>
      </c>
      <c r="DD54" s="1">
        <f>3498+1775+2145-1088</f>
        <v>6330</v>
      </c>
      <c r="DE54" s="1">
        <f>8647+8529</f>
        <v>17176</v>
      </c>
      <c r="DF54" s="1">
        <v>9000</v>
      </c>
      <c r="DG54" s="1">
        <v>34285</v>
      </c>
      <c r="DH54" s="1">
        <v>11620</v>
      </c>
      <c r="DI54" s="1">
        <f>7931+1119+1100</f>
        <v>10150</v>
      </c>
      <c r="DJ54" s="1" t="s">
        <v>50</v>
      </c>
      <c r="DK54" s="1">
        <f>88302+1575</f>
        <v>89877</v>
      </c>
      <c r="DL54" s="1">
        <f>11241+6762</f>
        <v>18003</v>
      </c>
      <c r="DM54" s="1">
        <f>5825+6391</f>
        <v>12216</v>
      </c>
      <c r="DN54" s="1">
        <v>4438</v>
      </c>
      <c r="DO54" s="1">
        <f>9725+14077</f>
        <v>23802</v>
      </c>
      <c r="DP54" s="1">
        <f>9159+6078</f>
        <v>15237</v>
      </c>
      <c r="DQ54" s="1">
        <f>3589+6886</f>
        <v>10475</v>
      </c>
      <c r="DR54" s="1">
        <v>-626</v>
      </c>
      <c r="DS54" s="1">
        <v>42638</v>
      </c>
      <c r="DT54" s="1">
        <v>4020</v>
      </c>
      <c r="DU54" s="1">
        <f>12558+3851</f>
        <v>16409</v>
      </c>
      <c r="DV54" s="1">
        <v>28051</v>
      </c>
      <c r="DW54" s="1">
        <f>506+2927</f>
        <v>3433</v>
      </c>
      <c r="DX54" s="1">
        <f>9374+8634-5498</f>
        <v>12510</v>
      </c>
      <c r="DY54" s="1">
        <f>1288+3700</f>
        <v>4988</v>
      </c>
      <c r="DZ54" s="1">
        <f>14865+676</f>
        <v>15541</v>
      </c>
      <c r="EA54" s="2">
        <f>11097+14105-1900-9158</f>
        <v>14144</v>
      </c>
      <c r="EB54" s="2">
        <f>10040+3840-900</f>
        <v>12980</v>
      </c>
      <c r="EC54" s="1">
        <v>3998</v>
      </c>
      <c r="ED54" s="1">
        <f>5124+3333-10437</f>
        <v>-1980</v>
      </c>
      <c r="EE54" s="1">
        <f>4258+8152-7165</f>
        <v>5245</v>
      </c>
      <c r="EF54" s="1">
        <v>2887</v>
      </c>
      <c r="EG54" s="1">
        <f>975+884</f>
        <v>1859</v>
      </c>
      <c r="EH54" s="1">
        <v>28671</v>
      </c>
      <c r="EI54" s="1">
        <f>6236+9491</f>
        <v>15727</v>
      </c>
      <c r="EJ54" s="1">
        <f>10325+12932-8150</f>
        <v>15107</v>
      </c>
      <c r="EK54" s="1">
        <f>3329+14942-2820</f>
        <v>15451</v>
      </c>
      <c r="EL54" s="1">
        <f>17624+515</f>
        <v>18139</v>
      </c>
      <c r="EM54" s="1">
        <f>3604+4500</f>
        <v>8104</v>
      </c>
      <c r="EN54" s="1">
        <f>6422-2006</f>
        <v>4416</v>
      </c>
      <c r="EO54" s="1">
        <f>9455+3273</f>
        <v>12728</v>
      </c>
      <c r="EP54" s="1">
        <f>11400+564</f>
        <v>11964</v>
      </c>
      <c r="EQ54" s="1">
        <f>6075+1137-1847</f>
        <v>5365</v>
      </c>
      <c r="ER54" s="1">
        <f>11255+4155</f>
        <v>15410</v>
      </c>
      <c r="ES54" s="1">
        <v>11132</v>
      </c>
      <c r="ET54" s="1">
        <f>10473+4280-7083</f>
        <v>7670</v>
      </c>
      <c r="EU54" s="1">
        <f>2077+5428-1037</f>
        <v>6468</v>
      </c>
      <c r="EV54" s="18">
        <f>11998+12202</f>
        <v>24200</v>
      </c>
      <c r="EW54" s="1">
        <f>14131+1909</f>
        <v>16040</v>
      </c>
      <c r="EX54" s="1">
        <f>14280+1910-3144-2278</f>
        <v>10768</v>
      </c>
      <c r="EY54" s="1">
        <f>43385+2075+7215-29758</f>
        <v>22917</v>
      </c>
      <c r="EZ54" s="1">
        <f>2820+2159</f>
        <v>4979</v>
      </c>
      <c r="FA54" s="1"/>
      <c r="FB54" s="1">
        <v>3529</v>
      </c>
      <c r="FC54" s="1">
        <f>8438+6935</f>
        <v>15373</v>
      </c>
      <c r="FD54" s="1">
        <f>6076+4963+8951</f>
        <v>19990</v>
      </c>
      <c r="FE54" s="1">
        <v>19495</v>
      </c>
      <c r="FF54" s="1">
        <f>32769+8554+601-1075</f>
        <v>40849</v>
      </c>
      <c r="FG54" s="1">
        <v>14625</v>
      </c>
      <c r="FH54" s="1">
        <f>14224+7333</f>
        <v>21557</v>
      </c>
      <c r="FI54" s="1">
        <f>4479+20134+475</f>
        <v>25088</v>
      </c>
      <c r="FJ54" s="1">
        <f>2250+4251</f>
        <v>6501</v>
      </c>
      <c r="FK54" s="2">
        <f>35283+14009+1020</f>
        <v>50312</v>
      </c>
      <c r="FL54" s="1">
        <f>19585+6872+1440</f>
        <v>27897</v>
      </c>
      <c r="FM54" s="1">
        <f>18247+1748+7410</f>
        <v>27405</v>
      </c>
      <c r="FN54" s="1">
        <v>28604</v>
      </c>
      <c r="FO54" s="1">
        <f>54166-7547</f>
        <v>46619</v>
      </c>
      <c r="FP54" s="1">
        <f>2011+5120</f>
        <v>7131</v>
      </c>
      <c r="FQ54" s="1">
        <f>6084+2935</f>
        <v>9019</v>
      </c>
      <c r="FR54" s="1">
        <v>30412</v>
      </c>
      <c r="FS54" s="1">
        <f>7878-3157</f>
        <v>4721</v>
      </c>
      <c r="FT54" s="1">
        <f>5463+11750+18428-5943</f>
        <v>29698</v>
      </c>
      <c r="FU54" s="1">
        <v>5905</v>
      </c>
      <c r="FV54" s="41">
        <f>17329+9668-2124</f>
        <v>24873</v>
      </c>
      <c r="FW54" s="1">
        <f>7754+2201+500</f>
        <v>10455</v>
      </c>
      <c r="FX54" s="1">
        <v>23035</v>
      </c>
      <c r="FY54" s="1">
        <f>21553+16344+6000-8583</f>
        <v>35314</v>
      </c>
      <c r="FZ54" s="1">
        <v>843</v>
      </c>
      <c r="GA54" s="1">
        <v>108522</v>
      </c>
      <c r="GB54" s="1">
        <v>35238</v>
      </c>
      <c r="GC54" s="1">
        <f>6277+1679</f>
        <v>7956</v>
      </c>
      <c r="GD54" s="1">
        <f>55967+9560</f>
        <v>65527</v>
      </c>
      <c r="GE54" s="1">
        <v>13263</v>
      </c>
      <c r="GF54" s="1">
        <v>6584</v>
      </c>
      <c r="GG54" s="1">
        <f>28054+31866</f>
        <v>59920</v>
      </c>
      <c r="GH54" s="1">
        <f>1500</f>
        <v>1500</v>
      </c>
      <c r="GI54" s="1">
        <f>17903+9311+15814</f>
        <v>43028</v>
      </c>
      <c r="GJ54" s="18">
        <f>2400+4650+6420</f>
        <v>13470</v>
      </c>
      <c r="GK54" s="1">
        <f>89292-6895</f>
        <v>82397</v>
      </c>
      <c r="GL54" s="1">
        <v>39667</v>
      </c>
      <c r="GM54" s="1">
        <f>2092+2266+33582</f>
        <v>37940</v>
      </c>
      <c r="GN54" s="1">
        <f>2011+6240+5611</f>
        <v>13862</v>
      </c>
      <c r="GO54" s="1">
        <v>30710</v>
      </c>
      <c r="GP54" s="1">
        <f>32781+9577+4326-3943</f>
        <v>42741</v>
      </c>
      <c r="GQ54" s="1"/>
    </row>
    <row r="55" spans="1:199" s="2" customFormat="1" ht="15">
      <c r="A55" s="2" t="s">
        <v>38</v>
      </c>
      <c r="B55" s="40">
        <f>33+25</f>
        <v>58</v>
      </c>
      <c r="C55" s="40">
        <v>517</v>
      </c>
      <c r="D55" s="1">
        <v>42</v>
      </c>
      <c r="E55" s="1">
        <v>2173</v>
      </c>
      <c r="F55" s="1">
        <f>1137+25</f>
        <v>1162</v>
      </c>
      <c r="G55" s="1">
        <f>142+156</f>
        <v>298</v>
      </c>
      <c r="H55" s="1">
        <v>111</v>
      </c>
      <c r="I55" s="1">
        <v>1140</v>
      </c>
      <c r="J55" s="1">
        <v>1321</v>
      </c>
      <c r="K55" s="1">
        <v>1210</v>
      </c>
      <c r="L55" s="1">
        <v>12970</v>
      </c>
      <c r="M55" s="1">
        <f>500+229</f>
        <v>729</v>
      </c>
      <c r="N55" s="1"/>
      <c r="O55" s="1">
        <f>669+1134</f>
        <v>1803</v>
      </c>
      <c r="P55" s="1">
        <v>97</v>
      </c>
      <c r="Q55" s="1">
        <v>1092</v>
      </c>
      <c r="R55" s="1">
        <f>644+1139</f>
        <v>1783</v>
      </c>
      <c r="S55" s="1">
        <f>500+493</f>
        <v>993</v>
      </c>
      <c r="T55" s="1">
        <v>451</v>
      </c>
      <c r="U55" s="1">
        <v>27</v>
      </c>
      <c r="V55" s="1">
        <v>9668</v>
      </c>
      <c r="W55" s="1">
        <v>1062</v>
      </c>
      <c r="X55" s="1">
        <v>5972</v>
      </c>
      <c r="Y55" s="1">
        <v>1828</v>
      </c>
      <c r="Z55" s="1">
        <v>503</v>
      </c>
      <c r="AA55" s="1">
        <v>2929</v>
      </c>
      <c r="AB55" s="1">
        <f>640+500</f>
        <v>1140</v>
      </c>
      <c r="AC55" s="1">
        <v>12963</v>
      </c>
      <c r="AD55" s="1">
        <f>612+1500</f>
        <v>2112</v>
      </c>
      <c r="AE55" s="1">
        <v>2150</v>
      </c>
      <c r="AF55" s="1">
        <f>224+2394+8959+2500</f>
        <v>14077</v>
      </c>
      <c r="AG55" s="1">
        <f>2879+1500</f>
        <v>4379</v>
      </c>
      <c r="AH55" s="1">
        <f>6214+308+175</f>
        <v>6697</v>
      </c>
      <c r="AI55" s="1">
        <f>457+1500</f>
        <v>1957</v>
      </c>
      <c r="AJ55" s="1">
        <v>768</v>
      </c>
      <c r="AK55" s="1">
        <v>181</v>
      </c>
      <c r="AL55" s="1">
        <f>2045+1500</f>
        <v>3545</v>
      </c>
      <c r="AM55" s="1">
        <v>9605</v>
      </c>
      <c r="AN55" s="1">
        <f>7465-559</f>
        <v>6906</v>
      </c>
      <c r="AO55" s="1">
        <v>7930</v>
      </c>
      <c r="AP55" s="1">
        <v>75170</v>
      </c>
      <c r="AQ55" s="1">
        <v>7218</v>
      </c>
      <c r="AR55" s="1">
        <f>1004+562</f>
        <v>1566</v>
      </c>
      <c r="AS55" s="1">
        <v>9618</v>
      </c>
      <c r="AT55" s="41">
        <v>7775</v>
      </c>
      <c r="AU55" s="1">
        <v>11366</v>
      </c>
      <c r="AV55" s="1">
        <f>834+300</f>
        <v>1134</v>
      </c>
      <c r="AW55" s="1">
        <v>14681</v>
      </c>
      <c r="AX55" s="1">
        <v>1231</v>
      </c>
      <c r="AY55" s="1">
        <v>4056</v>
      </c>
      <c r="AZ55" s="1">
        <v>10504</v>
      </c>
      <c r="BA55" s="1">
        <v>34281</v>
      </c>
      <c r="BB55" s="18">
        <f>559+1500+155</f>
        <v>2214</v>
      </c>
      <c r="BC55" s="18">
        <v>1498</v>
      </c>
      <c r="BD55" s="1">
        <v>7688</v>
      </c>
      <c r="BE55" s="1">
        <v>15803</v>
      </c>
      <c r="BF55" s="1">
        <v>7667</v>
      </c>
      <c r="BG55" s="1">
        <v>6187</v>
      </c>
      <c r="BH55" s="1">
        <v>15654</v>
      </c>
      <c r="BI55" s="1">
        <v>12002</v>
      </c>
      <c r="BJ55" s="1">
        <v>42265</v>
      </c>
      <c r="BK55" s="1">
        <v>518</v>
      </c>
      <c r="BL55" s="1">
        <v>26420</v>
      </c>
      <c r="BM55" s="1">
        <v>2594</v>
      </c>
      <c r="BN55" s="1">
        <f>949+1500</f>
        <v>2449</v>
      </c>
      <c r="BO55" s="1">
        <v>44639</v>
      </c>
      <c r="BP55" s="1">
        <v>16191</v>
      </c>
      <c r="BQ55" s="1">
        <v>17501</v>
      </c>
      <c r="BR55" s="1">
        <v>3421</v>
      </c>
      <c r="BS55" s="1">
        <v>29330</v>
      </c>
      <c r="BT55" s="1">
        <f>2442+500</f>
        <v>2942</v>
      </c>
      <c r="BU55" s="1">
        <v>8992</v>
      </c>
      <c r="BV55" s="1">
        <v>1478</v>
      </c>
      <c r="BW55" s="1">
        <v>6084</v>
      </c>
      <c r="BX55" s="1">
        <f>2465+1766</f>
        <v>4231</v>
      </c>
      <c r="BY55" s="1">
        <v>27055</v>
      </c>
      <c r="BZ55" s="1">
        <v>3544</v>
      </c>
      <c r="CA55" s="1">
        <v>13389</v>
      </c>
      <c r="CB55" s="1">
        <v>20848</v>
      </c>
      <c r="CC55" s="1">
        <v>1170</v>
      </c>
      <c r="CD55" s="1">
        <v>3465</v>
      </c>
      <c r="CE55" s="1">
        <v>1285</v>
      </c>
      <c r="CF55" s="1">
        <f>4051+1480</f>
        <v>5531</v>
      </c>
      <c r="CG55" s="1">
        <f>606+500</f>
        <v>1106</v>
      </c>
      <c r="CH55" s="1">
        <v>9469</v>
      </c>
      <c r="CI55" s="1">
        <v>22284</v>
      </c>
      <c r="CJ55" s="1">
        <v>12580</v>
      </c>
      <c r="CK55" s="1">
        <v>13127</v>
      </c>
      <c r="CL55" s="1">
        <v>3408</v>
      </c>
      <c r="CM55" s="1">
        <v>7333</v>
      </c>
      <c r="CN55" s="1">
        <v>10192</v>
      </c>
      <c r="CO55" s="1">
        <v>28308</v>
      </c>
      <c r="CP55" s="1">
        <v>29162</v>
      </c>
      <c r="CQ55" s="1">
        <v>12524</v>
      </c>
      <c r="CR55" s="1">
        <v>41763</v>
      </c>
      <c r="CS55" s="1">
        <v>8432</v>
      </c>
      <c r="CT55" s="1">
        <v>9406</v>
      </c>
      <c r="CU55" s="1">
        <v>15838</v>
      </c>
      <c r="CV55" s="1">
        <v>9014</v>
      </c>
      <c r="CW55" s="1">
        <v>10395</v>
      </c>
      <c r="CX55" s="41">
        <f>640+500</f>
        <v>1140</v>
      </c>
      <c r="CY55" s="1">
        <v>2594</v>
      </c>
      <c r="CZ55" s="1">
        <v>16353</v>
      </c>
      <c r="DA55" s="1">
        <v>46330</v>
      </c>
      <c r="DB55" s="1">
        <v>4004</v>
      </c>
      <c r="DC55" s="1">
        <f>1697+500</f>
        <v>2197</v>
      </c>
      <c r="DD55" s="1">
        <v>30515</v>
      </c>
      <c r="DE55" s="1">
        <v>4528</v>
      </c>
      <c r="DF55" s="1">
        <v>8776</v>
      </c>
      <c r="DG55" s="1">
        <v>13321</v>
      </c>
      <c r="DH55" s="1">
        <v>3467</v>
      </c>
      <c r="DI55" s="1">
        <v>24593</v>
      </c>
      <c r="DJ55" s="1">
        <v>4575</v>
      </c>
      <c r="DK55" s="1">
        <f>2578+1500</f>
        <v>4078</v>
      </c>
      <c r="DL55" s="1">
        <v>39331</v>
      </c>
      <c r="DM55" s="1">
        <v>6877</v>
      </c>
      <c r="DN55" s="1">
        <f>1054+1500</f>
        <v>2554</v>
      </c>
      <c r="DO55" s="1">
        <f>554+500</f>
        <v>1054</v>
      </c>
      <c r="DP55" s="1">
        <v>30236</v>
      </c>
      <c r="DQ55" s="1">
        <v>12392</v>
      </c>
      <c r="DR55" s="1">
        <v>13004</v>
      </c>
      <c r="DS55" s="1">
        <v>10993</v>
      </c>
      <c r="DT55" s="1">
        <v>3434</v>
      </c>
      <c r="DU55" s="1">
        <v>3384</v>
      </c>
      <c r="DV55" s="1">
        <v>3437</v>
      </c>
      <c r="DW55" s="1">
        <v>13576</v>
      </c>
      <c r="DX55" s="1">
        <f>5316+1500</f>
        <v>6816</v>
      </c>
      <c r="DY55" s="1">
        <v>15398</v>
      </c>
      <c r="DZ55" s="1">
        <v>3182</v>
      </c>
      <c r="EA55" s="1">
        <v>14412</v>
      </c>
      <c r="EB55" s="1">
        <v>14044</v>
      </c>
      <c r="EC55" s="1">
        <v>6566</v>
      </c>
      <c r="ED55" s="1">
        <v>310</v>
      </c>
      <c r="EE55" s="1">
        <v>11332</v>
      </c>
      <c r="EF55" s="1">
        <v>2000</v>
      </c>
      <c r="EG55" s="1">
        <v>7734</v>
      </c>
      <c r="EH55" s="1">
        <v>17957</v>
      </c>
      <c r="EI55" s="1">
        <v>32178</v>
      </c>
      <c r="EJ55" s="1">
        <v>16374</v>
      </c>
      <c r="EK55" s="1">
        <v>75794</v>
      </c>
      <c r="EL55" s="1">
        <f>1826+1500</f>
        <v>3326</v>
      </c>
      <c r="EM55" s="1">
        <v>12228</v>
      </c>
      <c r="EN55" s="1">
        <v>19193</v>
      </c>
      <c r="EO55" s="1">
        <v>3525</v>
      </c>
      <c r="EP55" s="1">
        <v>23330</v>
      </c>
      <c r="EQ55" s="1">
        <v>4220</v>
      </c>
      <c r="ER55" s="1">
        <v>5248</v>
      </c>
      <c r="ES55" s="1">
        <v>3438</v>
      </c>
      <c r="ET55" s="1">
        <v>29437</v>
      </c>
      <c r="EU55" s="1">
        <f>184+21644</f>
        <v>21828</v>
      </c>
      <c r="EV55" s="18">
        <v>27270</v>
      </c>
      <c r="EW55" s="1">
        <v>3771</v>
      </c>
      <c r="EX55" s="1">
        <v>3114</v>
      </c>
      <c r="EY55" s="1">
        <v>31956</v>
      </c>
      <c r="EZ55" s="1">
        <f>1726+1875</f>
        <v>3601</v>
      </c>
      <c r="FA55" s="1">
        <v>24580</v>
      </c>
      <c r="FB55" s="1">
        <v>28119</v>
      </c>
      <c r="FC55" s="1">
        <v>24938</v>
      </c>
      <c r="FD55" s="1">
        <v>2390</v>
      </c>
      <c r="FE55" s="1">
        <v>27035</v>
      </c>
      <c r="FF55" s="1">
        <v>6391</v>
      </c>
      <c r="FG55" s="1">
        <v>5642</v>
      </c>
      <c r="FH55" s="1">
        <v>10839</v>
      </c>
      <c r="FI55" s="1">
        <v>9778</v>
      </c>
      <c r="FJ55" s="1">
        <v>7218</v>
      </c>
      <c r="FK55" s="2">
        <v>27883</v>
      </c>
      <c r="FL55" s="1">
        <v>19413</v>
      </c>
      <c r="FM55" s="1">
        <v>2383</v>
      </c>
      <c r="FN55" s="1">
        <v>13723</v>
      </c>
      <c r="FO55" s="1">
        <v>8046</v>
      </c>
      <c r="FP55" s="1">
        <f>879+1500</f>
        <v>2379</v>
      </c>
      <c r="FQ55" s="1">
        <v>5107</v>
      </c>
      <c r="FR55" s="1">
        <v>37472</v>
      </c>
      <c r="FS55" s="1">
        <v>11100</v>
      </c>
      <c r="FT55" s="1">
        <v>72630</v>
      </c>
      <c r="FU55" s="1">
        <v>14846</v>
      </c>
      <c r="FV55" s="41">
        <v>1873</v>
      </c>
      <c r="FW55" s="1">
        <v>870</v>
      </c>
      <c r="FX55" s="1">
        <v>113547</v>
      </c>
      <c r="FY55" s="1">
        <f>792+1500</f>
        <v>2292</v>
      </c>
      <c r="FZ55" s="1">
        <v>3004</v>
      </c>
      <c r="GA55" s="1">
        <v>63530</v>
      </c>
      <c r="GB55" s="1">
        <v>7970</v>
      </c>
      <c r="GC55" s="1">
        <v>4586</v>
      </c>
      <c r="GD55" s="1">
        <v>7673</v>
      </c>
      <c r="GE55" s="1">
        <f>4856+1500</f>
        <v>6356</v>
      </c>
      <c r="GF55" s="1"/>
      <c r="GG55" s="1">
        <v>71226</v>
      </c>
      <c r="GH55" s="1">
        <v>41010</v>
      </c>
      <c r="GI55" s="1">
        <v>47258</v>
      </c>
      <c r="GJ55" s="18">
        <v>136142</v>
      </c>
      <c r="GK55" s="1">
        <v>4832</v>
      </c>
      <c r="GL55" s="1">
        <v>7910</v>
      </c>
      <c r="GM55" s="1">
        <v>10340</v>
      </c>
      <c r="GN55" s="2">
        <v>49555</v>
      </c>
      <c r="GO55" s="1">
        <v>153157</v>
      </c>
      <c r="GP55" s="1">
        <v>4480</v>
      </c>
      <c r="GQ55" s="1"/>
    </row>
    <row r="56" spans="1:199" s="2" customFormat="1" ht="15">
      <c r="A56" s="2" t="s">
        <v>39</v>
      </c>
      <c r="B56" s="40">
        <f>1184-58</f>
        <v>1126</v>
      </c>
      <c r="C56" s="40">
        <v>7035</v>
      </c>
      <c r="D56" s="1">
        <f>1604-42</f>
        <v>1562</v>
      </c>
      <c r="E56" s="1">
        <v>2414</v>
      </c>
      <c r="F56" s="1">
        <f>1310-1162</f>
        <v>148</v>
      </c>
      <c r="G56" s="2">
        <f>5857-298</f>
        <v>5559</v>
      </c>
      <c r="H56" s="1">
        <f>1174-111</f>
        <v>1063</v>
      </c>
      <c r="I56" s="1">
        <v>6618</v>
      </c>
      <c r="J56" s="1">
        <v>20161</v>
      </c>
      <c r="K56" s="1">
        <v>11231</v>
      </c>
      <c r="L56" s="1">
        <v>19864</v>
      </c>
      <c r="M56" s="1">
        <f>7502-729</f>
        <v>6773</v>
      </c>
      <c r="N56" s="1">
        <f>3276+1846</f>
        <v>5122</v>
      </c>
      <c r="O56" s="1">
        <f>17784-1803</f>
        <v>15981</v>
      </c>
      <c r="P56" s="1">
        <f>2549-97</f>
        <v>2452</v>
      </c>
      <c r="Q56" s="1">
        <v>16061</v>
      </c>
      <c r="R56" s="1">
        <f>7259-1783</f>
        <v>5476</v>
      </c>
      <c r="S56" s="1">
        <f>15805-993</f>
        <v>14812</v>
      </c>
      <c r="T56" s="1">
        <f>2105-451</f>
        <v>1654</v>
      </c>
      <c r="U56" s="1">
        <f>1506-27</f>
        <v>1479</v>
      </c>
      <c r="V56" s="1">
        <v>3188</v>
      </c>
      <c r="W56" s="1">
        <f>9810-1062</f>
        <v>8748</v>
      </c>
      <c r="X56" s="1">
        <v>2396</v>
      </c>
      <c r="Y56" s="1">
        <v>2463</v>
      </c>
      <c r="Z56" s="1">
        <f>18922-503</f>
        <v>18419</v>
      </c>
      <c r="AA56" s="1">
        <v>2426</v>
      </c>
      <c r="AB56" s="1">
        <f>26889-1140</f>
        <v>25749</v>
      </c>
      <c r="AC56" s="1">
        <f>8445+2672-4498</f>
        <v>6619</v>
      </c>
      <c r="AD56" s="1">
        <f>11318-2112</f>
        <v>9206</v>
      </c>
      <c r="AE56" s="1">
        <v>4604</v>
      </c>
      <c r="AF56" s="1">
        <f>6158+4269-224-2394</f>
        <v>7809</v>
      </c>
      <c r="AG56" s="1">
        <f>39380-4379</f>
        <v>35001</v>
      </c>
      <c r="AH56" s="1">
        <f>5402+6384-308-175</f>
        <v>11303</v>
      </c>
      <c r="AI56" s="1">
        <f>17992-1957</f>
        <v>16035</v>
      </c>
      <c r="AJ56" s="1">
        <f>16917-768</f>
        <v>16149</v>
      </c>
      <c r="AK56" s="1">
        <f>17797-181-3500</f>
        <v>14116</v>
      </c>
      <c r="AL56" s="1">
        <f>10839-3545</f>
        <v>7294</v>
      </c>
      <c r="AM56" s="1">
        <v>8042</v>
      </c>
      <c r="AN56" s="1">
        <f>5162+2463+559</f>
        <v>8184</v>
      </c>
      <c r="AO56" s="1">
        <f>15750+5500</f>
        <v>21250</v>
      </c>
      <c r="AP56" s="1">
        <v>40387</v>
      </c>
      <c r="AQ56" s="1">
        <v>6119</v>
      </c>
      <c r="AR56" s="1">
        <f>7665-1566</f>
        <v>6099</v>
      </c>
      <c r="AS56" s="1">
        <v>27590</v>
      </c>
      <c r="AT56" s="41">
        <v>16482</v>
      </c>
      <c r="AU56" s="1">
        <v>11667</v>
      </c>
      <c r="AV56" s="1">
        <f>4372-1134</f>
        <v>3238</v>
      </c>
      <c r="AW56" s="1">
        <v>15480</v>
      </c>
      <c r="AX56" s="1">
        <v>3429</v>
      </c>
      <c r="AY56" s="1">
        <v>10113</v>
      </c>
      <c r="AZ56" s="1">
        <v>36475</v>
      </c>
      <c r="BA56" s="1">
        <v>23616</v>
      </c>
      <c r="BB56" s="18">
        <f>20521-2214</f>
        <v>18307</v>
      </c>
      <c r="BC56" s="18">
        <v>2376</v>
      </c>
      <c r="BD56" s="1">
        <v>10291</v>
      </c>
      <c r="BE56" s="1">
        <v>10503</v>
      </c>
      <c r="BF56" s="1">
        <v>13576</v>
      </c>
      <c r="BG56" s="1">
        <v>8479</v>
      </c>
      <c r="BH56" s="1">
        <v>18144</v>
      </c>
      <c r="BI56" s="1">
        <v>11235</v>
      </c>
      <c r="BJ56" s="1">
        <v>17115</v>
      </c>
      <c r="BK56" s="1">
        <f>14118-518</f>
        <v>13600</v>
      </c>
      <c r="BL56" s="1">
        <v>19951</v>
      </c>
      <c r="BM56" s="1">
        <v>5733</v>
      </c>
      <c r="BN56" s="1">
        <f>29979-2449</f>
        <v>27530</v>
      </c>
      <c r="BO56" s="1">
        <v>27252</v>
      </c>
      <c r="BP56" s="1">
        <f>12130+1852</f>
        <v>13982</v>
      </c>
      <c r="BQ56" s="1">
        <v>27173</v>
      </c>
      <c r="BR56" s="1">
        <v>15673</v>
      </c>
      <c r="BS56" s="1">
        <v>30998</v>
      </c>
      <c r="BT56" s="1">
        <f>11429-2942</f>
        <v>8487</v>
      </c>
      <c r="BU56" s="1">
        <v>21172</v>
      </c>
      <c r="BV56" s="1">
        <v>8888</v>
      </c>
      <c r="BW56" s="1">
        <v>22698</v>
      </c>
      <c r="BX56" s="1">
        <f>14003+1237+1326-1</f>
        <v>16565</v>
      </c>
      <c r="BY56" s="1">
        <v>24659</v>
      </c>
      <c r="BZ56" s="1">
        <v>27580</v>
      </c>
      <c r="CA56" s="1">
        <v>10564</v>
      </c>
      <c r="CB56" s="1">
        <v>32663</v>
      </c>
      <c r="CC56" s="1">
        <f>18859-1170</f>
        <v>17689</v>
      </c>
      <c r="CD56" s="1">
        <v>17796</v>
      </c>
      <c r="CE56" s="1">
        <v>25637</v>
      </c>
      <c r="CF56" s="1">
        <f>36946-5531</f>
        <v>31415</v>
      </c>
      <c r="CG56" s="1">
        <f>8156-1106</f>
        <v>7050</v>
      </c>
      <c r="CH56" s="1">
        <v>7687</v>
      </c>
      <c r="CI56" s="1">
        <v>40212</v>
      </c>
      <c r="CJ56" s="1">
        <v>13449</v>
      </c>
      <c r="CK56" s="1">
        <v>11930</v>
      </c>
      <c r="CL56" s="1">
        <v>9378</v>
      </c>
      <c r="CM56" s="1">
        <v>18664</v>
      </c>
      <c r="CN56" s="1">
        <v>20551</v>
      </c>
      <c r="CO56" s="1">
        <v>25805</v>
      </c>
      <c r="CP56" s="1">
        <v>21746</v>
      </c>
      <c r="CQ56" s="1">
        <v>11984</v>
      </c>
      <c r="CR56" s="1">
        <v>24292</v>
      </c>
      <c r="CS56" s="1">
        <v>15514</v>
      </c>
      <c r="CT56" s="1">
        <v>6492</v>
      </c>
      <c r="CU56" s="1">
        <v>10597</v>
      </c>
      <c r="CV56" s="1">
        <v>29533</v>
      </c>
      <c r="CW56" s="1">
        <v>18939</v>
      </c>
      <c r="CX56" s="41">
        <f>15589-1140</f>
        <v>14449</v>
      </c>
      <c r="CY56" s="1">
        <v>29306</v>
      </c>
      <c r="CZ56" s="1">
        <v>10313</v>
      </c>
      <c r="DA56" s="1">
        <v>25244</v>
      </c>
      <c r="DB56" s="1">
        <v>11565</v>
      </c>
      <c r="DC56" s="1">
        <f>21522-2197</f>
        <v>19325</v>
      </c>
      <c r="DD56" s="1">
        <v>24949</v>
      </c>
      <c r="DE56" s="1">
        <v>17320</v>
      </c>
      <c r="DF56" s="1">
        <v>7354</v>
      </c>
      <c r="DG56" s="1">
        <v>14844</v>
      </c>
      <c r="DH56" s="1">
        <v>40263</v>
      </c>
      <c r="DI56" s="1">
        <v>28306</v>
      </c>
      <c r="DJ56" s="1">
        <v>41018</v>
      </c>
      <c r="DK56" s="1">
        <f>39604-4078</f>
        <v>35526</v>
      </c>
      <c r="DL56" s="1">
        <v>30744</v>
      </c>
      <c r="DM56" s="1">
        <v>23948</v>
      </c>
      <c r="DN56" s="1">
        <f>15822-2554</f>
        <v>13268</v>
      </c>
      <c r="DO56" s="1">
        <f>19962-1054</f>
        <v>18908</v>
      </c>
      <c r="DP56" s="1">
        <v>27485</v>
      </c>
      <c r="DQ56" s="1">
        <v>14923</v>
      </c>
      <c r="DR56" s="1">
        <v>24175</v>
      </c>
      <c r="DS56" s="1">
        <v>17871</v>
      </c>
      <c r="DT56" s="1">
        <v>27448</v>
      </c>
      <c r="DU56" s="1">
        <v>26425</v>
      </c>
      <c r="DV56" s="1">
        <f>26690-3437</f>
        <v>23253</v>
      </c>
      <c r="DW56" s="1">
        <v>24955</v>
      </c>
      <c r="DX56" s="1">
        <f>27623-6816</f>
        <v>20807</v>
      </c>
      <c r="DY56" s="1">
        <v>11299</v>
      </c>
      <c r="DZ56" s="1">
        <v>15478</v>
      </c>
      <c r="EA56" s="1">
        <v>19015</v>
      </c>
      <c r="EB56" s="1">
        <v>16913</v>
      </c>
      <c r="EC56" s="1">
        <v>14618</v>
      </c>
      <c r="ED56" s="1">
        <f>18548-310</f>
        <v>18238</v>
      </c>
      <c r="EE56" s="1">
        <v>28262</v>
      </c>
      <c r="EF56" s="1">
        <f>23039-2000</f>
        <v>21039</v>
      </c>
      <c r="EG56" s="1">
        <v>28017</v>
      </c>
      <c r="EH56" s="1">
        <v>23311</v>
      </c>
      <c r="EI56" s="1">
        <v>23254</v>
      </c>
      <c r="EJ56" s="1">
        <v>22130</v>
      </c>
      <c r="EK56" s="1">
        <v>31698</v>
      </c>
      <c r="EL56" s="1">
        <f>17772-3326</f>
        <v>14446</v>
      </c>
      <c r="EM56" s="1">
        <f>34076+1858</f>
        <v>35934</v>
      </c>
      <c r="EN56" s="1">
        <v>11721</v>
      </c>
      <c r="EO56" s="1">
        <v>16264</v>
      </c>
      <c r="EP56" s="1">
        <v>16607</v>
      </c>
      <c r="EQ56" s="1">
        <v>17870</v>
      </c>
      <c r="ER56" s="1">
        <f>22127-5248+2</f>
        <v>16881</v>
      </c>
      <c r="ES56" s="1">
        <v>13943</v>
      </c>
      <c r="ET56" s="1">
        <v>25149</v>
      </c>
      <c r="EU56" s="1">
        <v>24763</v>
      </c>
      <c r="EV56" s="18">
        <v>27224</v>
      </c>
      <c r="EW56" s="1">
        <f>20005-3771</f>
        <v>16234</v>
      </c>
      <c r="EX56" s="1">
        <v>75705</v>
      </c>
      <c r="EY56" s="1">
        <v>32224</v>
      </c>
      <c r="EZ56" s="1">
        <f>66206-3601</f>
        <v>62605</v>
      </c>
      <c r="FA56" s="1">
        <v>44826</v>
      </c>
      <c r="FB56" s="1">
        <f>54198-4227</f>
        <v>49971</v>
      </c>
      <c r="FC56" s="1">
        <v>23339</v>
      </c>
      <c r="FD56" s="1">
        <f>30753-2390</f>
        <v>28363</v>
      </c>
      <c r="FE56" s="1">
        <v>37094</v>
      </c>
      <c r="FF56" s="1">
        <v>21434</v>
      </c>
      <c r="FG56" s="1">
        <v>32825</v>
      </c>
      <c r="FH56" s="1">
        <v>61205</v>
      </c>
      <c r="FI56" s="1">
        <v>79992</v>
      </c>
      <c r="FJ56" s="1">
        <v>20198</v>
      </c>
      <c r="FK56" s="2">
        <f>36334+3845</f>
        <v>40179</v>
      </c>
      <c r="FL56" s="1">
        <v>43309</v>
      </c>
      <c r="FM56" s="1">
        <v>19423</v>
      </c>
      <c r="FN56" s="1">
        <v>52153</v>
      </c>
      <c r="FO56" s="1">
        <v>35006</v>
      </c>
      <c r="FP56" s="1">
        <f>32729-2379</f>
        <v>30350</v>
      </c>
      <c r="FQ56" s="1">
        <f>36462-5107</f>
        <v>31355</v>
      </c>
      <c r="FR56" s="1">
        <v>31002</v>
      </c>
      <c r="FS56" s="1">
        <f>66193-11100</f>
        <v>55093</v>
      </c>
      <c r="FT56" s="1">
        <v>34470</v>
      </c>
      <c r="FU56" s="1">
        <v>28199</v>
      </c>
      <c r="FV56" s="41">
        <f>31008-FV55</f>
        <v>29135</v>
      </c>
      <c r="FW56" s="1">
        <v>18034</v>
      </c>
      <c r="FX56" s="1">
        <v>50618</v>
      </c>
      <c r="FY56" s="1">
        <f>48357-2292</f>
        <v>46065</v>
      </c>
      <c r="FZ56" s="1">
        <v>66190</v>
      </c>
      <c r="GA56" s="1">
        <v>59149</v>
      </c>
      <c r="GB56" s="1">
        <v>119590</v>
      </c>
      <c r="GC56" s="1">
        <f>18512+70095-4586</f>
        <v>84021</v>
      </c>
      <c r="GD56" s="1">
        <f>64402-7673</f>
        <v>56729</v>
      </c>
      <c r="GE56" s="1">
        <f>72313-6356</f>
        <v>65957</v>
      </c>
      <c r="GF56" s="1">
        <f>9734+30341</f>
        <v>40075</v>
      </c>
      <c r="GG56" s="1">
        <v>77383</v>
      </c>
      <c r="GH56" s="1">
        <v>41254</v>
      </c>
      <c r="GI56" s="1">
        <f>61409+33275</f>
        <v>94684</v>
      </c>
      <c r="GJ56" s="18">
        <v>89011</v>
      </c>
      <c r="GK56" s="1">
        <v>97335</v>
      </c>
      <c r="GL56" s="1">
        <v>28125</v>
      </c>
      <c r="GM56" s="1">
        <v>90301</v>
      </c>
      <c r="GN56" s="1">
        <f>52616+1601</f>
        <v>54217</v>
      </c>
      <c r="GO56" s="1">
        <f>55497+26707+16229+20072+86267</f>
        <v>204772</v>
      </c>
      <c r="GP56" s="1">
        <f>144963-4480</f>
        <v>140483</v>
      </c>
      <c r="GQ56" s="1"/>
    </row>
    <row r="57" spans="1:198" s="2" customFormat="1" ht="15.75" thickBot="1">
      <c r="A57" s="2" t="s">
        <v>40</v>
      </c>
      <c r="B57" s="44"/>
      <c r="C57" s="4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44"/>
      <c r="AU57" s="1"/>
      <c r="AV57" s="1"/>
      <c r="AW57" s="1"/>
      <c r="AX57" s="1"/>
      <c r="AY57" s="1"/>
      <c r="AZ57" s="1"/>
      <c r="BA57" s="1"/>
      <c r="BB57" s="18"/>
      <c r="BC57" s="18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>
        <v>-23805</v>
      </c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4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>
        <v>4072</v>
      </c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>
        <v>-60714</v>
      </c>
      <c r="ES57" s="1"/>
      <c r="ET57" s="1"/>
      <c r="EU57" s="1"/>
      <c r="EV57" s="18"/>
      <c r="EW57" s="1">
        <v>65877</v>
      </c>
      <c r="EX57" s="1"/>
      <c r="EY57" s="1"/>
      <c r="EZ57" s="1"/>
      <c r="FA57" s="1"/>
      <c r="FB57" s="1"/>
      <c r="FC57" s="1"/>
      <c r="FD57" s="1">
        <v>165000</v>
      </c>
      <c r="FE57" s="1"/>
      <c r="FF57" s="1"/>
      <c r="FG57" s="1"/>
      <c r="FH57" s="1"/>
      <c r="FI57" s="1">
        <v>37069</v>
      </c>
      <c r="FJ57" s="1"/>
      <c r="FK57" s="1"/>
      <c r="FL57" s="1"/>
      <c r="FM57" s="1">
        <v>5739</v>
      </c>
      <c r="FN57" s="1"/>
      <c r="FO57" s="1"/>
      <c r="FP57" s="1"/>
      <c r="FQ57" s="1">
        <v>17722</v>
      </c>
      <c r="FR57" s="1"/>
      <c r="FS57" s="1"/>
      <c r="FT57" s="1"/>
      <c r="FU57" s="1"/>
      <c r="FV57" s="41"/>
      <c r="FW57" s="1" t="s">
        <v>50</v>
      </c>
      <c r="FX57" s="1"/>
      <c r="FY57" s="1"/>
      <c r="FZ57" s="1">
        <v>1331</v>
      </c>
      <c r="GA57" s="1"/>
      <c r="GB57" s="1">
        <v>27000</v>
      </c>
      <c r="GC57" s="1">
        <v>38032</v>
      </c>
      <c r="GD57" s="1"/>
      <c r="GE57" s="1">
        <v>124047</v>
      </c>
      <c r="GF57" s="1"/>
      <c r="GG57" s="1"/>
      <c r="GH57" s="1"/>
      <c r="GI57" s="1"/>
      <c r="GJ57" s="18"/>
      <c r="GK57" s="1"/>
      <c r="GL57" s="1">
        <v>-6284</v>
      </c>
      <c r="GM57" s="1"/>
      <c r="GN57" s="1"/>
      <c r="GO57" s="1"/>
      <c r="GP57" s="1"/>
    </row>
    <row r="58" spans="1:198" s="2" customFormat="1" ht="15">
      <c r="A58" s="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19"/>
      <c r="BB58" s="19"/>
      <c r="BC58" s="19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19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19"/>
      <c r="GK58" s="7"/>
      <c r="GL58" s="7"/>
      <c r="GM58" s="7"/>
      <c r="GN58" s="7"/>
      <c r="GO58" s="7"/>
      <c r="GP58" s="7"/>
    </row>
    <row r="59" spans="1:198" s="2" customFormat="1" ht="15.75" thickBot="1">
      <c r="A59" s="12" t="s">
        <v>41</v>
      </c>
      <c r="B59" s="1">
        <f aca="true" t="shared" si="6" ref="B59:AI59">SUM(B28:B57)</f>
        <v>43413</v>
      </c>
      <c r="C59" s="1">
        <f t="shared" si="6"/>
        <v>142539</v>
      </c>
      <c r="D59" s="1">
        <f t="shared" si="6"/>
        <v>123281</v>
      </c>
      <c r="E59" s="1">
        <f t="shared" si="6"/>
        <v>233317</v>
      </c>
      <c r="F59" s="1">
        <f t="shared" si="6"/>
        <v>62368</v>
      </c>
      <c r="G59" s="1">
        <f t="shared" si="6"/>
        <v>158573</v>
      </c>
      <c r="H59" s="1">
        <f t="shared" si="6"/>
        <v>60175</v>
      </c>
      <c r="I59" s="1">
        <f>SUM(I28:I57)</f>
        <v>771708</v>
      </c>
      <c r="J59" s="1">
        <f>SUM(J28:J57)</f>
        <v>785516</v>
      </c>
      <c r="K59" s="1">
        <f t="shared" si="6"/>
        <v>674138</v>
      </c>
      <c r="L59" s="1">
        <f t="shared" si="6"/>
        <v>1893300</v>
      </c>
      <c r="M59" s="1">
        <f>SUM(M28:M57)</f>
        <v>242171</v>
      </c>
      <c r="N59" s="1">
        <f t="shared" si="6"/>
        <v>649274</v>
      </c>
      <c r="O59" s="1">
        <f t="shared" si="6"/>
        <v>551440</v>
      </c>
      <c r="P59" s="1">
        <f t="shared" si="6"/>
        <v>128015</v>
      </c>
      <c r="Q59" s="1">
        <f>SUM(Q28:Q57)</f>
        <v>930026</v>
      </c>
      <c r="R59" s="1">
        <f t="shared" si="6"/>
        <v>857106</v>
      </c>
      <c r="S59" s="1">
        <f>SUM(S28:S57)</f>
        <v>502306</v>
      </c>
      <c r="T59" s="1">
        <f t="shared" si="6"/>
        <v>169842</v>
      </c>
      <c r="U59" s="1">
        <f t="shared" si="6"/>
        <v>109630</v>
      </c>
      <c r="V59" s="1">
        <f t="shared" si="6"/>
        <v>1907042</v>
      </c>
      <c r="W59" s="1">
        <f t="shared" si="6"/>
        <v>307168</v>
      </c>
      <c r="X59" s="1">
        <f t="shared" si="6"/>
        <v>618995</v>
      </c>
      <c r="Y59" s="1">
        <f t="shared" si="6"/>
        <v>393446</v>
      </c>
      <c r="Z59" s="1">
        <f>SUM(Z28:Z57)</f>
        <v>865811</v>
      </c>
      <c r="AA59" s="1">
        <f t="shared" si="6"/>
        <v>407503</v>
      </c>
      <c r="AB59" s="1">
        <f>SUM(AB28:AB57)</f>
        <v>947319</v>
      </c>
      <c r="AC59" s="1">
        <f>SUM(AC28:AC57)</f>
        <v>2457687</v>
      </c>
      <c r="AD59" s="1">
        <f t="shared" si="6"/>
        <v>1040866</v>
      </c>
      <c r="AE59" s="1">
        <f>SUM(AE28:AE57)</f>
        <v>375414</v>
      </c>
      <c r="AF59" s="1">
        <f>SUM(AF28:AF57)</f>
        <v>1520345</v>
      </c>
      <c r="AG59" s="1">
        <f>SUM(AG28:AG57)</f>
        <v>1904164</v>
      </c>
      <c r="AH59" s="1">
        <f t="shared" si="6"/>
        <v>1476825</v>
      </c>
      <c r="AI59" s="1">
        <f t="shared" si="6"/>
        <v>1701301</v>
      </c>
      <c r="AJ59" s="1">
        <f>SUM(AJ28:AJ57)</f>
        <v>1240109</v>
      </c>
      <c r="AK59" s="1">
        <f aca="true" t="shared" si="7" ref="AK59:BR59">SUM(AK28:AK57)</f>
        <v>1116733</v>
      </c>
      <c r="AL59" s="1">
        <f aca="true" t="shared" si="8" ref="AL59:AQ59">SUM(AL28:AL57)</f>
        <v>808571</v>
      </c>
      <c r="AM59" s="1">
        <f t="shared" si="8"/>
        <v>1480506</v>
      </c>
      <c r="AN59" s="1">
        <f t="shared" si="8"/>
        <v>1122093</v>
      </c>
      <c r="AO59" s="1">
        <f t="shared" si="8"/>
        <v>1327826</v>
      </c>
      <c r="AP59" s="1">
        <f t="shared" si="8"/>
        <v>7866386</v>
      </c>
      <c r="AQ59" s="1">
        <f t="shared" si="8"/>
        <v>1609827</v>
      </c>
      <c r="AR59" s="1">
        <f t="shared" si="7"/>
        <v>514376</v>
      </c>
      <c r="AS59" s="1">
        <f t="shared" si="7"/>
        <v>2775827</v>
      </c>
      <c r="AT59" s="1">
        <f t="shared" si="7"/>
        <v>1069128</v>
      </c>
      <c r="AU59" s="1">
        <f>SUM(AU28:AU57)</f>
        <v>1787763</v>
      </c>
      <c r="AV59" s="1">
        <f t="shared" si="7"/>
        <v>341021</v>
      </c>
      <c r="AW59" s="1">
        <f t="shared" si="7"/>
        <v>2791742</v>
      </c>
      <c r="AX59" s="1">
        <f t="shared" si="7"/>
        <v>410671</v>
      </c>
      <c r="AY59" s="1">
        <f t="shared" si="7"/>
        <v>908417</v>
      </c>
      <c r="AZ59" s="1">
        <f t="shared" si="7"/>
        <v>2351795</v>
      </c>
      <c r="BA59" s="18">
        <f>SUM(BA28:BA57)</f>
        <v>5441772</v>
      </c>
      <c r="BB59" s="18">
        <f>SUM(BB28:BB57)</f>
        <v>1494961</v>
      </c>
      <c r="BC59" s="18">
        <f>SUM(BC28:BC57)</f>
        <v>494646</v>
      </c>
      <c r="BD59" s="1">
        <f t="shared" si="7"/>
        <v>1493667</v>
      </c>
      <c r="BE59" s="1">
        <f t="shared" si="7"/>
        <v>1794048</v>
      </c>
      <c r="BF59" s="1">
        <f t="shared" si="7"/>
        <v>1096261</v>
      </c>
      <c r="BG59" s="1">
        <f t="shared" si="7"/>
        <v>1035772</v>
      </c>
      <c r="BH59" s="1">
        <f>SUM(BH28:BH57)</f>
        <v>2893957</v>
      </c>
      <c r="BI59" s="1">
        <f t="shared" si="7"/>
        <v>2457222</v>
      </c>
      <c r="BJ59" s="1">
        <f>SUM(BJ28:BJ57)</f>
        <v>4385787</v>
      </c>
      <c r="BK59" s="1">
        <f t="shared" si="7"/>
        <v>1822171</v>
      </c>
      <c r="BL59" s="1">
        <f t="shared" si="7"/>
        <v>4026104</v>
      </c>
      <c r="BM59" s="1">
        <f t="shared" si="7"/>
        <v>849299</v>
      </c>
      <c r="BN59" s="1">
        <f t="shared" si="7"/>
        <v>1629957</v>
      </c>
      <c r="BO59" s="1">
        <f t="shared" si="7"/>
        <v>3009061</v>
      </c>
      <c r="BP59" s="1">
        <f>SUM(BP28:BP57)</f>
        <v>2862141</v>
      </c>
      <c r="BQ59" s="1">
        <f t="shared" si="7"/>
        <v>3001758</v>
      </c>
      <c r="BR59" s="1">
        <f t="shared" si="7"/>
        <v>1094033</v>
      </c>
      <c r="BS59" s="1">
        <f aca="true" t="shared" si="9" ref="BS59:CY59">SUM(BS28:BS57)</f>
        <v>3840808</v>
      </c>
      <c r="BT59" s="1">
        <f t="shared" si="9"/>
        <v>722781</v>
      </c>
      <c r="BU59" s="1">
        <f>SUM(BU28:BU57)</f>
        <v>1634435</v>
      </c>
      <c r="BV59" s="1">
        <f>SUM(BV28:BV57)</f>
        <v>984521</v>
      </c>
      <c r="BW59" s="1">
        <f t="shared" si="9"/>
        <v>2252184</v>
      </c>
      <c r="BX59" s="1">
        <f t="shared" si="9"/>
        <v>1851280</v>
      </c>
      <c r="BY59" s="1">
        <f t="shared" si="9"/>
        <v>3907733</v>
      </c>
      <c r="BZ59" s="1">
        <f t="shared" si="9"/>
        <v>1794538</v>
      </c>
      <c r="CA59" s="1">
        <f t="shared" si="9"/>
        <v>2206136</v>
      </c>
      <c r="CB59" s="1">
        <f t="shared" si="9"/>
        <v>3938929</v>
      </c>
      <c r="CC59" s="1">
        <f t="shared" si="9"/>
        <v>1239664</v>
      </c>
      <c r="CD59" s="1">
        <f t="shared" si="9"/>
        <v>1134957</v>
      </c>
      <c r="CE59" s="1">
        <f t="shared" si="9"/>
        <v>1347470</v>
      </c>
      <c r="CF59" s="1">
        <f>SUM(CF28:CF57)</f>
        <v>2549830</v>
      </c>
      <c r="CG59" s="1">
        <f t="shared" si="9"/>
        <v>630712</v>
      </c>
      <c r="CH59" s="1">
        <f t="shared" si="9"/>
        <v>1596225</v>
      </c>
      <c r="CI59" s="1">
        <f t="shared" si="9"/>
        <v>3519987</v>
      </c>
      <c r="CJ59" s="1">
        <f t="shared" si="9"/>
        <v>2101904</v>
      </c>
      <c r="CK59" s="1">
        <f t="shared" si="9"/>
        <v>1869755</v>
      </c>
      <c r="CL59" s="1">
        <f t="shared" si="9"/>
        <v>694485</v>
      </c>
      <c r="CM59" s="1">
        <f t="shared" si="9"/>
        <v>1885455</v>
      </c>
      <c r="CN59" s="1">
        <f t="shared" si="9"/>
        <v>1862514</v>
      </c>
      <c r="CO59" s="1">
        <f t="shared" si="9"/>
        <v>3953624</v>
      </c>
      <c r="CP59" s="1">
        <f>SUM(CP28:CP57)</f>
        <v>5046231</v>
      </c>
      <c r="CQ59" s="1">
        <f t="shared" si="9"/>
        <v>2062179</v>
      </c>
      <c r="CR59" s="1">
        <f t="shared" si="9"/>
        <v>4383687</v>
      </c>
      <c r="CS59" s="1">
        <f>SUM(CS28:CS57)</f>
        <v>2215266</v>
      </c>
      <c r="CT59" s="1">
        <f>SUM(CT28:CT57)</f>
        <v>1852887</v>
      </c>
      <c r="CU59" s="1">
        <f t="shared" si="9"/>
        <v>2093472</v>
      </c>
      <c r="CV59" s="1">
        <f t="shared" si="9"/>
        <v>2170374</v>
      </c>
      <c r="CW59" s="1">
        <f t="shared" si="9"/>
        <v>1723004</v>
      </c>
      <c r="CX59" s="41">
        <f t="shared" si="9"/>
        <v>940482</v>
      </c>
      <c r="CY59" s="1">
        <f t="shared" si="9"/>
        <v>2287713</v>
      </c>
      <c r="CZ59" s="1">
        <f>SUM(CZ28:CZ57)</f>
        <v>3279704</v>
      </c>
      <c r="DA59" s="1">
        <f aca="true" t="shared" si="10" ref="DA59:EG59">SUM(DA28:DA57)</f>
        <v>5177078</v>
      </c>
      <c r="DB59" s="1">
        <f t="shared" si="10"/>
        <v>1151843</v>
      </c>
      <c r="DC59" s="1">
        <f>SUM(DC28:DC57)</f>
        <v>953724</v>
      </c>
      <c r="DD59" s="1">
        <f t="shared" si="10"/>
        <v>4099137</v>
      </c>
      <c r="DE59" s="1">
        <f>SUM(DE28:DE57)</f>
        <v>1538124</v>
      </c>
      <c r="DF59" s="1">
        <f t="shared" si="10"/>
        <v>1559095</v>
      </c>
      <c r="DG59" s="1">
        <f t="shared" si="10"/>
        <v>2903056</v>
      </c>
      <c r="DH59" s="45">
        <f t="shared" si="10"/>
        <v>3364651</v>
      </c>
      <c r="DI59" s="1">
        <f t="shared" si="10"/>
        <v>3342624</v>
      </c>
      <c r="DJ59" s="1">
        <f>SUM(DJ28:DJ57)</f>
        <v>3612376</v>
      </c>
      <c r="DK59" s="1">
        <f>SUM(DK28:DK57)</f>
        <v>1907109</v>
      </c>
      <c r="DL59" s="1">
        <f>SUM(DL28:DL57)</f>
        <v>5207763</v>
      </c>
      <c r="DM59" s="1">
        <f>SUM(DM28:DM57)</f>
        <v>2610792</v>
      </c>
      <c r="DN59" s="1">
        <f t="shared" si="10"/>
        <v>1086564</v>
      </c>
      <c r="DO59" s="1">
        <f t="shared" si="10"/>
        <v>1974322</v>
      </c>
      <c r="DP59" s="1">
        <f>SUM(DP28:DP57)</f>
        <v>3768756</v>
      </c>
      <c r="DQ59" s="1">
        <f>SUM(DQ28:DQ57)</f>
        <v>2930581</v>
      </c>
      <c r="DR59" s="1">
        <f t="shared" si="10"/>
        <v>2328635</v>
      </c>
      <c r="DS59" s="1">
        <f>SUM(DS28:DS57)</f>
        <v>3157584</v>
      </c>
      <c r="DT59" s="1">
        <f t="shared" si="10"/>
        <v>1359939</v>
      </c>
      <c r="DU59" s="1">
        <f>SUM(DU28:DU57)</f>
        <v>2355956</v>
      </c>
      <c r="DV59" s="1">
        <f>SUM(DV28:DV57)</f>
        <v>1194337</v>
      </c>
      <c r="DW59" s="1">
        <f t="shared" si="10"/>
        <v>2932118</v>
      </c>
      <c r="DX59" s="1">
        <f>SUM(DX28:DX57)</f>
        <v>2643716</v>
      </c>
      <c r="DY59" s="1">
        <f t="shared" si="10"/>
        <v>2278520</v>
      </c>
      <c r="DZ59" s="1">
        <f>SUM(DZ28:DZ57)</f>
        <v>3155559</v>
      </c>
      <c r="EA59" s="1">
        <f t="shared" si="10"/>
        <v>2605682</v>
      </c>
      <c r="EB59" s="1">
        <f t="shared" si="10"/>
        <v>2426947</v>
      </c>
      <c r="EC59" s="1">
        <f t="shared" si="10"/>
        <v>1494283</v>
      </c>
      <c r="ED59" s="1">
        <f>SUM(ED28:ED57)</f>
        <v>1494175</v>
      </c>
      <c r="EE59" s="1">
        <f>SUM(EE28:EE57)</f>
        <v>2499430</v>
      </c>
      <c r="EF59" s="1">
        <f t="shared" si="10"/>
        <v>2484057</v>
      </c>
      <c r="EG59" s="1">
        <f t="shared" si="10"/>
        <v>1549480</v>
      </c>
      <c r="EH59" s="1">
        <f>SUM(EH28:EH57)</f>
        <v>3696892</v>
      </c>
      <c r="EI59" s="1">
        <f>SUM(EI28:EI57)</f>
        <v>3885957</v>
      </c>
      <c r="EJ59" s="1">
        <f aca="true" t="shared" si="11" ref="EJ59:ER59">SUM(EJ28:EJ57)</f>
        <v>2261353</v>
      </c>
      <c r="EK59" s="1">
        <f t="shared" si="11"/>
        <v>12581203</v>
      </c>
      <c r="EL59" s="1">
        <f t="shared" si="11"/>
        <v>1821062</v>
      </c>
      <c r="EM59" s="1">
        <f t="shared" si="11"/>
        <v>3047703</v>
      </c>
      <c r="EN59" s="1">
        <f t="shared" si="11"/>
        <v>3259867</v>
      </c>
      <c r="EO59" s="1">
        <f t="shared" si="11"/>
        <v>1361534</v>
      </c>
      <c r="EP59" s="1">
        <f t="shared" si="11"/>
        <v>4037853</v>
      </c>
      <c r="EQ59" s="1">
        <f t="shared" si="11"/>
        <v>1284497</v>
      </c>
      <c r="ER59" s="1">
        <f t="shared" si="11"/>
        <v>6271763</v>
      </c>
      <c r="ES59" s="1">
        <f>SUM(ES28:ES57)</f>
        <v>5355233</v>
      </c>
      <c r="ET59" s="1">
        <f>SUM(ET29:ET57)</f>
        <v>4132333</v>
      </c>
      <c r="EU59" s="1">
        <f>SUM(EU29:EU57)</f>
        <v>3629744</v>
      </c>
      <c r="EV59" s="18">
        <f>SUM(EV28:EV57)</f>
        <v>3480465</v>
      </c>
      <c r="EW59" s="1">
        <f aca="true" t="shared" si="12" ref="EW59:FX59">SUM(EW28:EW57)</f>
        <v>7076130</v>
      </c>
      <c r="EX59" s="1">
        <f t="shared" si="12"/>
        <v>2904843</v>
      </c>
      <c r="EY59" s="1">
        <f t="shared" si="12"/>
        <v>4433114</v>
      </c>
      <c r="EZ59" s="1">
        <f t="shared" si="12"/>
        <v>2532613</v>
      </c>
      <c r="FA59" s="1">
        <f t="shared" si="12"/>
        <v>3785681</v>
      </c>
      <c r="FB59" s="1">
        <f>SUM(FB28:FB57)</f>
        <v>4394695</v>
      </c>
      <c r="FC59" s="1">
        <f t="shared" si="12"/>
        <v>3413273</v>
      </c>
      <c r="FD59" s="1">
        <f t="shared" si="12"/>
        <v>3364175</v>
      </c>
      <c r="FE59" s="1">
        <f t="shared" si="12"/>
        <v>4864083</v>
      </c>
      <c r="FF59" s="1">
        <f t="shared" si="12"/>
        <v>3673285</v>
      </c>
      <c r="FG59" s="1">
        <f t="shared" si="12"/>
        <v>2964019</v>
      </c>
      <c r="FH59" s="1">
        <f t="shared" si="12"/>
        <v>5725784</v>
      </c>
      <c r="FI59" s="1">
        <f t="shared" si="12"/>
        <v>9532458</v>
      </c>
      <c r="FJ59" s="1">
        <f t="shared" si="12"/>
        <v>1923276</v>
      </c>
      <c r="FK59" s="1">
        <f t="shared" si="12"/>
        <v>4854982</v>
      </c>
      <c r="FL59" s="1">
        <f t="shared" si="12"/>
        <v>6905694</v>
      </c>
      <c r="FM59" s="1">
        <f t="shared" si="12"/>
        <v>6866034</v>
      </c>
      <c r="FN59" s="1">
        <f t="shared" si="12"/>
        <v>13636203</v>
      </c>
      <c r="FO59" s="1">
        <f t="shared" si="12"/>
        <v>3664849</v>
      </c>
      <c r="FP59" s="1">
        <f t="shared" si="12"/>
        <v>1873487</v>
      </c>
      <c r="FQ59" s="1">
        <f t="shared" si="12"/>
        <v>2504397</v>
      </c>
      <c r="FR59" s="1">
        <f t="shared" si="12"/>
        <v>5376802</v>
      </c>
      <c r="FS59" s="1">
        <f t="shared" si="12"/>
        <v>6097452</v>
      </c>
      <c r="FT59" s="1">
        <f t="shared" si="12"/>
        <v>8319280</v>
      </c>
      <c r="FU59" s="41">
        <f t="shared" si="12"/>
        <v>2663571</v>
      </c>
      <c r="FV59" s="41">
        <f t="shared" si="12"/>
        <v>3593570</v>
      </c>
      <c r="FW59" s="1">
        <f t="shared" si="12"/>
        <v>9847156</v>
      </c>
      <c r="FX59" s="1">
        <f t="shared" si="12"/>
        <v>12742736</v>
      </c>
      <c r="FY59" s="1">
        <f aca="true" t="shared" si="13" ref="FY59:GP59">SUM(FY28:FY57)</f>
        <v>2817943</v>
      </c>
      <c r="FZ59" s="1">
        <f t="shared" si="13"/>
        <v>6068288</v>
      </c>
      <c r="GA59" s="1">
        <f t="shared" si="13"/>
        <v>10756087</v>
      </c>
      <c r="GB59" s="1">
        <f t="shared" si="13"/>
        <v>6689738</v>
      </c>
      <c r="GC59" s="1">
        <f t="shared" si="13"/>
        <v>6685603</v>
      </c>
      <c r="GD59" s="1">
        <f t="shared" si="13"/>
        <v>8782571</v>
      </c>
      <c r="GE59" s="1">
        <f t="shared" si="13"/>
        <v>5187108</v>
      </c>
      <c r="GF59" s="1">
        <f t="shared" si="13"/>
        <v>2891664</v>
      </c>
      <c r="GG59" s="1">
        <f t="shared" si="13"/>
        <v>11577769</v>
      </c>
      <c r="GH59" s="1">
        <f>SUM(GH28:GH57)</f>
        <v>7901673</v>
      </c>
      <c r="GI59" s="1">
        <f t="shared" si="13"/>
        <v>9402094</v>
      </c>
      <c r="GJ59" s="18">
        <f t="shared" si="13"/>
        <v>12044245</v>
      </c>
      <c r="GK59" s="1">
        <f t="shared" si="13"/>
        <v>9532173</v>
      </c>
      <c r="GL59" s="1">
        <f t="shared" si="13"/>
        <v>13708110</v>
      </c>
      <c r="GM59" s="1">
        <f>SUM(GM28:GM57)</f>
        <v>6353277</v>
      </c>
      <c r="GN59" s="1">
        <f>SUM(GN28:GN57)</f>
        <v>12722154</v>
      </c>
      <c r="GO59" s="1">
        <f t="shared" si="13"/>
        <v>20481545</v>
      </c>
      <c r="GP59" s="1">
        <f t="shared" si="13"/>
        <v>6790025</v>
      </c>
    </row>
    <row r="60" spans="1:198" s="2" customFormat="1" ht="15">
      <c r="A60" s="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19"/>
      <c r="BB60" s="19"/>
      <c r="BC60" s="19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46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19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19"/>
      <c r="GK60" s="7"/>
      <c r="GL60" s="7"/>
      <c r="GM60" s="7"/>
      <c r="GN60" s="7"/>
      <c r="GO60" s="7"/>
      <c r="GP60" s="7"/>
    </row>
    <row r="61" spans="1:198" s="2" customFormat="1" ht="15.75" thickBot="1">
      <c r="A61" s="2" t="s">
        <v>42</v>
      </c>
      <c r="B61" s="1">
        <f aca="true" t="shared" si="14" ref="B61:AI61">B25-B59</f>
        <v>-2847</v>
      </c>
      <c r="C61" s="1">
        <f t="shared" si="14"/>
        <v>38</v>
      </c>
      <c r="D61" s="1">
        <f t="shared" si="14"/>
        <v>16155</v>
      </c>
      <c r="E61" s="1">
        <f t="shared" si="14"/>
        <v>13881</v>
      </c>
      <c r="F61" s="1">
        <f t="shared" si="14"/>
        <v>14694</v>
      </c>
      <c r="G61" s="1">
        <f t="shared" si="14"/>
        <v>894</v>
      </c>
      <c r="H61" s="1">
        <f t="shared" si="14"/>
        <v>3643</v>
      </c>
      <c r="I61" s="1">
        <f>I25-I59</f>
        <v>-18444</v>
      </c>
      <c r="J61" s="1">
        <f>J25-J59</f>
        <v>19624</v>
      </c>
      <c r="K61" s="1">
        <f t="shared" si="14"/>
        <v>-56597</v>
      </c>
      <c r="L61" s="1">
        <f t="shared" si="14"/>
        <v>255559</v>
      </c>
      <c r="M61" s="1">
        <f>M25-M59</f>
        <v>-11961</v>
      </c>
      <c r="N61" s="1">
        <f t="shared" si="14"/>
        <v>-419542</v>
      </c>
      <c r="O61" s="1">
        <f t="shared" si="14"/>
        <v>-4675</v>
      </c>
      <c r="P61" s="1">
        <f t="shared" si="14"/>
        <v>-2764</v>
      </c>
      <c r="Q61" s="1">
        <f>Q25-Q59</f>
        <v>11903</v>
      </c>
      <c r="R61" s="1">
        <f t="shared" si="14"/>
        <v>1825</v>
      </c>
      <c r="S61" s="1">
        <f>S25-S59</f>
        <v>44822</v>
      </c>
      <c r="T61" s="1">
        <f t="shared" si="14"/>
        <v>36773</v>
      </c>
      <c r="U61" s="1">
        <f t="shared" si="14"/>
        <v>26673</v>
      </c>
      <c r="V61" s="1">
        <f t="shared" si="14"/>
        <v>1822</v>
      </c>
      <c r="W61" s="1">
        <f t="shared" si="14"/>
        <v>19485</v>
      </c>
      <c r="X61" s="1">
        <f t="shared" si="14"/>
        <v>4509</v>
      </c>
      <c r="Y61" s="1">
        <f t="shared" si="14"/>
        <v>21412</v>
      </c>
      <c r="Z61" s="1">
        <f>Z25-Z59</f>
        <v>-44133</v>
      </c>
      <c r="AA61" s="1">
        <f t="shared" si="14"/>
        <v>107756</v>
      </c>
      <c r="AB61" s="1">
        <f>AB25-AB59</f>
        <v>-115424</v>
      </c>
      <c r="AC61" s="1">
        <f>AC25-AC59</f>
        <v>-104706</v>
      </c>
      <c r="AD61" s="1">
        <f t="shared" si="14"/>
        <v>159701</v>
      </c>
      <c r="AE61" s="1">
        <f>AE25-AE59</f>
        <v>109535</v>
      </c>
      <c r="AF61" s="1">
        <f>AF25-AF59</f>
        <v>13961</v>
      </c>
      <c r="AG61" s="1">
        <f>AG25-AG59</f>
        <v>209598</v>
      </c>
      <c r="AH61" s="1">
        <f t="shared" si="14"/>
        <v>96392</v>
      </c>
      <c r="AI61" s="1">
        <f t="shared" si="14"/>
        <v>-275573</v>
      </c>
      <c r="AJ61" s="1">
        <f>AJ25-AJ59</f>
        <v>13446</v>
      </c>
      <c r="AK61" s="1">
        <f aca="true" t="shared" si="15" ref="AK61:BR61">AK25-AK59</f>
        <v>-20669</v>
      </c>
      <c r="AL61" s="1">
        <f>AL25-AL59</f>
        <v>46385</v>
      </c>
      <c r="AM61" s="1">
        <f>AM25-AM59</f>
        <v>2322</v>
      </c>
      <c r="AN61" s="1">
        <f>AN25-AN59</f>
        <v>80393</v>
      </c>
      <c r="AO61" s="1">
        <f>AO25-AO59</f>
        <v>-39764</v>
      </c>
      <c r="AP61" s="1">
        <f>AP25-AP59</f>
        <v>791898</v>
      </c>
      <c r="AQ61" s="1">
        <f t="shared" si="15"/>
        <v>20121</v>
      </c>
      <c r="AR61" s="1">
        <f t="shared" si="15"/>
        <v>125580</v>
      </c>
      <c r="AS61" s="1">
        <f t="shared" si="15"/>
        <v>254664</v>
      </c>
      <c r="AT61" s="1">
        <f t="shared" si="15"/>
        <v>-44093</v>
      </c>
      <c r="AU61" s="1">
        <f>AU25-AU59</f>
        <v>22677</v>
      </c>
      <c r="AV61" s="1">
        <f t="shared" si="15"/>
        <v>-1631</v>
      </c>
      <c r="AW61" s="1">
        <f t="shared" si="15"/>
        <v>574714</v>
      </c>
      <c r="AX61" s="1">
        <f t="shared" si="15"/>
        <v>8727</v>
      </c>
      <c r="AY61" s="1">
        <f t="shared" si="15"/>
        <v>2201</v>
      </c>
      <c r="AZ61" s="1">
        <f t="shared" si="15"/>
        <v>125063</v>
      </c>
      <c r="BA61" s="18">
        <f>BA25-BA59</f>
        <v>380400</v>
      </c>
      <c r="BB61" s="18">
        <f>BB25-BB59</f>
        <v>23360</v>
      </c>
      <c r="BC61" s="18">
        <f>BC25-BC59</f>
        <v>-11113</v>
      </c>
      <c r="BD61" s="1">
        <f t="shared" si="15"/>
        <v>148448</v>
      </c>
      <c r="BE61" s="1">
        <f t="shared" si="15"/>
        <v>93300</v>
      </c>
      <c r="BF61" s="1">
        <f t="shared" si="15"/>
        <v>56261</v>
      </c>
      <c r="BG61" s="1">
        <f t="shared" si="15"/>
        <v>-17527</v>
      </c>
      <c r="BH61" s="1">
        <f>BH25-BH59</f>
        <v>58000</v>
      </c>
      <c r="BI61" s="1">
        <f t="shared" si="15"/>
        <v>114272</v>
      </c>
      <c r="BJ61" s="1">
        <f>BJ25-BJ59</f>
        <v>170311</v>
      </c>
      <c r="BK61" s="1">
        <f t="shared" si="15"/>
        <v>125069</v>
      </c>
      <c r="BL61" s="1">
        <f t="shared" si="15"/>
        <v>760375</v>
      </c>
      <c r="BM61" s="1">
        <f t="shared" si="15"/>
        <v>41197</v>
      </c>
      <c r="BN61" s="1">
        <f t="shared" si="15"/>
        <v>52871</v>
      </c>
      <c r="BO61" s="1">
        <f t="shared" si="15"/>
        <v>144711</v>
      </c>
      <c r="BP61" s="1">
        <f>BP25-BP59</f>
        <v>294342</v>
      </c>
      <c r="BQ61" s="1">
        <f t="shared" si="15"/>
        <v>-5081</v>
      </c>
      <c r="BR61" s="1">
        <f t="shared" si="15"/>
        <v>-9142</v>
      </c>
      <c r="BS61" s="1">
        <f aca="true" t="shared" si="16" ref="BS61:CY61">BS25-BS59</f>
        <v>24856</v>
      </c>
      <c r="BT61" s="1">
        <f t="shared" si="16"/>
        <v>76793</v>
      </c>
      <c r="BU61" s="1">
        <f>BU25-BU59</f>
        <v>206458</v>
      </c>
      <c r="BV61" s="1">
        <f>BV25-BV59</f>
        <v>-28633</v>
      </c>
      <c r="BW61" s="1">
        <f t="shared" si="16"/>
        <v>-8949</v>
      </c>
      <c r="BX61" s="1">
        <f t="shared" si="16"/>
        <v>10622</v>
      </c>
      <c r="BY61" s="1">
        <f t="shared" si="16"/>
        <v>248121</v>
      </c>
      <c r="BZ61" s="1">
        <f>BZ25-BZ59</f>
        <v>88904</v>
      </c>
      <c r="CA61" s="1">
        <f t="shared" si="16"/>
        <v>203106</v>
      </c>
      <c r="CB61" s="1">
        <f t="shared" si="16"/>
        <v>168662</v>
      </c>
      <c r="CC61" s="1">
        <f t="shared" si="16"/>
        <v>58002</v>
      </c>
      <c r="CD61" s="1">
        <f t="shared" si="16"/>
        <v>-24774</v>
      </c>
      <c r="CE61" s="1">
        <f t="shared" si="16"/>
        <v>2220</v>
      </c>
      <c r="CF61" s="1">
        <f>CF25-CF59</f>
        <v>36653</v>
      </c>
      <c r="CG61" s="1">
        <f t="shared" si="16"/>
        <v>2686</v>
      </c>
      <c r="CH61" s="1">
        <f t="shared" si="16"/>
        <v>-85839</v>
      </c>
      <c r="CI61" s="1">
        <f t="shared" si="16"/>
        <v>-116783</v>
      </c>
      <c r="CJ61" s="1">
        <f t="shared" si="16"/>
        <v>94921</v>
      </c>
      <c r="CK61" s="1">
        <f t="shared" si="16"/>
        <v>42189</v>
      </c>
      <c r="CL61" s="1">
        <f t="shared" si="16"/>
        <v>-22314</v>
      </c>
      <c r="CM61" s="1">
        <f t="shared" si="16"/>
        <v>83320</v>
      </c>
      <c r="CN61" s="1">
        <f t="shared" si="16"/>
        <v>140131</v>
      </c>
      <c r="CO61" s="1">
        <f t="shared" si="16"/>
        <v>319553</v>
      </c>
      <c r="CP61" s="1">
        <f>CP25-CP59</f>
        <v>774634</v>
      </c>
      <c r="CQ61" s="1">
        <f t="shared" si="16"/>
        <v>-4768</v>
      </c>
      <c r="CR61" s="1">
        <f t="shared" si="16"/>
        <v>1266</v>
      </c>
      <c r="CS61" s="1">
        <f>CS25-CS59</f>
        <v>144031</v>
      </c>
      <c r="CT61" s="1">
        <f>CT25-CT59</f>
        <v>-91906</v>
      </c>
      <c r="CU61" s="1">
        <f t="shared" si="16"/>
        <v>103416</v>
      </c>
      <c r="CV61" s="1">
        <f t="shared" si="16"/>
        <v>8596</v>
      </c>
      <c r="CW61" s="1">
        <f t="shared" si="16"/>
        <v>103784</v>
      </c>
      <c r="CX61" s="41">
        <f t="shared" si="16"/>
        <v>42735</v>
      </c>
      <c r="CY61" s="1">
        <f t="shared" si="16"/>
        <v>-107316</v>
      </c>
      <c r="CZ61" s="1">
        <f>CZ25-CZ59</f>
        <v>57565</v>
      </c>
      <c r="DA61" s="1">
        <f aca="true" t="shared" si="17" ref="DA61:EG61">DA25-DA59</f>
        <v>95654</v>
      </c>
      <c r="DB61" s="1">
        <f t="shared" si="17"/>
        <v>3486</v>
      </c>
      <c r="DC61" s="1">
        <f>DC25-DC59</f>
        <v>-66258</v>
      </c>
      <c r="DD61" s="1">
        <f t="shared" si="17"/>
        <v>265268</v>
      </c>
      <c r="DE61" s="1">
        <f>DE25-DE59</f>
        <v>135700</v>
      </c>
      <c r="DF61" s="1">
        <f t="shared" si="17"/>
        <v>109930</v>
      </c>
      <c r="DG61" s="1">
        <f t="shared" si="17"/>
        <v>135507</v>
      </c>
      <c r="DH61" s="45">
        <f t="shared" si="17"/>
        <v>272485</v>
      </c>
      <c r="DI61" s="1">
        <f t="shared" si="17"/>
        <v>159645</v>
      </c>
      <c r="DJ61" s="1">
        <f>DJ25-DJ59</f>
        <v>292726</v>
      </c>
      <c r="DK61" s="1">
        <f>DK25-DK59</f>
        <v>-80829</v>
      </c>
      <c r="DL61" s="1">
        <f>DL25-DL59</f>
        <v>-98474</v>
      </c>
      <c r="DM61" s="1">
        <f>DM25-DM59</f>
        <v>-32378</v>
      </c>
      <c r="DN61" s="1">
        <f t="shared" si="17"/>
        <v>11961</v>
      </c>
      <c r="DO61" s="1">
        <f t="shared" si="17"/>
        <v>-70907</v>
      </c>
      <c r="DP61" s="1">
        <f>DP25-DP59</f>
        <v>175628</v>
      </c>
      <c r="DQ61" s="1">
        <f>DQ25-DQ59</f>
        <v>-53603</v>
      </c>
      <c r="DR61" s="1">
        <f t="shared" si="17"/>
        <v>-7131</v>
      </c>
      <c r="DS61" s="1">
        <f>DS25-DS59</f>
        <v>46223</v>
      </c>
      <c r="DT61" s="1">
        <f t="shared" si="17"/>
        <v>76029</v>
      </c>
      <c r="DU61" s="1">
        <f>DU25-DU59</f>
        <v>-251573</v>
      </c>
      <c r="DV61" s="1">
        <f>DV25-DV59</f>
        <v>14635</v>
      </c>
      <c r="DW61" s="1">
        <f t="shared" si="17"/>
        <v>-82591</v>
      </c>
      <c r="DX61" s="1">
        <f>DX25-DX59</f>
        <v>48965</v>
      </c>
      <c r="DY61" s="1">
        <f t="shared" si="17"/>
        <v>39287</v>
      </c>
      <c r="DZ61" s="1">
        <f>DZ25-DZ59</f>
        <v>-96513</v>
      </c>
      <c r="EA61" s="1">
        <f t="shared" si="17"/>
        <v>21020</v>
      </c>
      <c r="EB61" s="1">
        <f t="shared" si="17"/>
        <v>2069</v>
      </c>
      <c r="EC61" s="1">
        <f>EC25-EC59</f>
        <v>71237</v>
      </c>
      <c r="ED61" s="1">
        <f>ED25-ED59</f>
        <v>133087</v>
      </c>
      <c r="EE61" s="1">
        <f>EE25-EE59</f>
        <v>-65621</v>
      </c>
      <c r="EF61" s="1">
        <f t="shared" si="17"/>
        <v>82616</v>
      </c>
      <c r="EG61" s="1">
        <f t="shared" si="17"/>
        <v>119691</v>
      </c>
      <c r="EH61" s="1">
        <f>EH25-EH59</f>
        <v>234199</v>
      </c>
      <c r="EI61" s="1">
        <f>EI25-EI59</f>
        <v>379526</v>
      </c>
      <c r="EJ61" s="1">
        <f aca="true" t="shared" si="18" ref="EJ61:FF61">EJ25-EJ59</f>
        <v>228322</v>
      </c>
      <c r="EK61" s="1">
        <f t="shared" si="18"/>
        <v>567971</v>
      </c>
      <c r="EL61" s="1">
        <f t="shared" si="18"/>
        <v>13737</v>
      </c>
      <c r="EM61" s="1">
        <f t="shared" si="18"/>
        <v>-22549</v>
      </c>
      <c r="EN61" s="1">
        <f t="shared" si="18"/>
        <v>24111</v>
      </c>
      <c r="EO61" s="1">
        <f t="shared" si="18"/>
        <v>115816</v>
      </c>
      <c r="EP61" s="1">
        <f t="shared" si="18"/>
        <v>171005</v>
      </c>
      <c r="EQ61" s="1">
        <f t="shared" si="18"/>
        <v>71099</v>
      </c>
      <c r="ER61" s="1">
        <f t="shared" si="18"/>
        <v>275903</v>
      </c>
      <c r="ES61" s="1">
        <f>ES25-ES59</f>
        <v>23231</v>
      </c>
      <c r="ET61" s="1">
        <f>ET25-ET59</f>
        <v>-11827</v>
      </c>
      <c r="EU61" s="1">
        <f>EU25-EU59</f>
        <v>86858</v>
      </c>
      <c r="EV61" s="18">
        <f>EV25-EV59</f>
        <v>63251</v>
      </c>
      <c r="EW61" s="1">
        <f t="shared" si="18"/>
        <v>-82665</v>
      </c>
      <c r="EX61" s="1">
        <f>EX25-EX59</f>
        <v>10346</v>
      </c>
      <c r="EY61" s="1">
        <f>EY25-EY59</f>
        <v>-5287</v>
      </c>
      <c r="EZ61" s="1">
        <f t="shared" si="18"/>
        <v>3783</v>
      </c>
      <c r="FA61" s="1">
        <f t="shared" si="18"/>
        <v>20534</v>
      </c>
      <c r="FB61" s="1">
        <f>FB25-FB59</f>
        <v>-92142</v>
      </c>
      <c r="FC61" s="1">
        <f t="shared" si="18"/>
        <v>17754</v>
      </c>
      <c r="FD61" s="1">
        <f t="shared" si="18"/>
        <v>61334</v>
      </c>
      <c r="FE61" s="1">
        <f t="shared" si="18"/>
        <v>375601</v>
      </c>
      <c r="FF61" s="1">
        <f t="shared" si="18"/>
        <v>102528</v>
      </c>
      <c r="FG61" s="1">
        <f aca="true" t="shared" si="19" ref="FG61:GP61">FG25-FG59</f>
        <v>350985</v>
      </c>
      <c r="FH61" s="1">
        <f>FH25-FH59</f>
        <v>-11625</v>
      </c>
      <c r="FI61" s="1">
        <f t="shared" si="19"/>
        <v>-44169</v>
      </c>
      <c r="FJ61" s="1">
        <f t="shared" si="19"/>
        <v>38185</v>
      </c>
      <c r="FK61" s="1">
        <f t="shared" si="19"/>
        <v>152577</v>
      </c>
      <c r="FL61" s="1">
        <f t="shared" si="19"/>
        <v>-311654</v>
      </c>
      <c r="FM61" s="1">
        <f t="shared" si="19"/>
        <v>-106339</v>
      </c>
      <c r="FN61" s="1">
        <f>FN25-FN59</f>
        <v>-77316</v>
      </c>
      <c r="FO61" s="1">
        <f>FO25-FO59</f>
        <v>309710</v>
      </c>
      <c r="FP61" s="1">
        <f t="shared" si="19"/>
        <v>383067</v>
      </c>
      <c r="FQ61" s="1">
        <f t="shared" si="19"/>
        <v>210230</v>
      </c>
      <c r="FR61" s="1">
        <f t="shared" si="19"/>
        <v>356165</v>
      </c>
      <c r="FS61" s="1">
        <f t="shared" si="19"/>
        <v>1046321</v>
      </c>
      <c r="FT61" s="1">
        <f t="shared" si="19"/>
        <v>-269861</v>
      </c>
      <c r="FU61" s="41">
        <f>FU25-FU59</f>
        <v>296387</v>
      </c>
      <c r="FV61" s="41">
        <f t="shared" si="19"/>
        <v>-38520</v>
      </c>
      <c r="FW61" s="1">
        <f t="shared" si="19"/>
        <v>-125137</v>
      </c>
      <c r="FX61" s="1">
        <f t="shared" si="19"/>
        <v>-496089</v>
      </c>
      <c r="FY61" s="1">
        <f t="shared" si="19"/>
        <v>-41895</v>
      </c>
      <c r="FZ61" s="1">
        <f t="shared" si="19"/>
        <v>769897</v>
      </c>
      <c r="GA61" s="1">
        <f>GA25-GA59</f>
        <v>681228</v>
      </c>
      <c r="GB61" s="1">
        <f t="shared" si="19"/>
        <v>199832</v>
      </c>
      <c r="GC61" s="1">
        <f t="shared" si="19"/>
        <v>83644</v>
      </c>
      <c r="GD61" s="1">
        <f>GD25-GD59</f>
        <v>349819</v>
      </c>
      <c r="GE61" s="1">
        <f>GE25-GE59</f>
        <v>-306807</v>
      </c>
      <c r="GF61" s="1">
        <f>+GF25-GF59</f>
        <v>176062</v>
      </c>
      <c r="GG61" s="1">
        <f t="shared" si="19"/>
        <v>720124</v>
      </c>
      <c r="GH61" s="1">
        <f>GH25-GH59</f>
        <v>574430</v>
      </c>
      <c r="GI61" s="1">
        <f t="shared" si="19"/>
        <v>-83523</v>
      </c>
      <c r="GJ61" s="18">
        <f t="shared" si="19"/>
        <v>365927</v>
      </c>
      <c r="GK61" s="1">
        <f>GK25-GK59</f>
        <v>-318811</v>
      </c>
      <c r="GL61" s="1">
        <f t="shared" si="19"/>
        <v>-205500</v>
      </c>
      <c r="GM61" s="1">
        <f>GM25-GM59</f>
        <v>6178</v>
      </c>
      <c r="GN61" s="1">
        <f>GN25-GN59</f>
        <v>290420</v>
      </c>
      <c r="GO61" s="1">
        <f t="shared" si="19"/>
        <v>361653</v>
      </c>
      <c r="GP61" s="1">
        <f t="shared" si="19"/>
        <v>4827</v>
      </c>
    </row>
    <row r="62" spans="1:198" ht="1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20"/>
      <c r="BB62" s="20"/>
      <c r="BC62" s="20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6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48"/>
      <c r="DI62" s="8"/>
      <c r="DJ62" s="7"/>
      <c r="DK62" s="7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20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20"/>
      <c r="GK62" s="8"/>
      <c r="GL62" s="8"/>
      <c r="GM62" s="8"/>
      <c r="GN62" s="8"/>
      <c r="GO62" s="8"/>
      <c r="GP62" s="8"/>
    </row>
    <row r="63" spans="1:198" ht="15">
      <c r="A63" s="4" t="s">
        <v>266</v>
      </c>
      <c r="B63" s="3">
        <f>B8/4/12</f>
        <v>713.75</v>
      </c>
      <c r="C63" s="3">
        <f>(+C8+C9+C10)/12/5</f>
        <v>2140.083333333333</v>
      </c>
      <c r="D63" s="3">
        <f>(+D8+D9+D10)/12/7</f>
        <v>1648.047619047619</v>
      </c>
      <c r="E63" s="3">
        <f>(+E8+E9+E10)/12/8</f>
        <v>1970.2291666666667</v>
      </c>
      <c r="F63" s="3">
        <f>(+F8+F9+F10)/12/8</f>
        <v>802.7291666666666</v>
      </c>
      <c r="G63" s="3">
        <f>(+G8+G9+G10)/12/9</f>
        <v>1476.111111111111</v>
      </c>
      <c r="H63" s="3">
        <f>(+H8+H9+H10)/12/10</f>
        <v>501.9916666666667</v>
      </c>
      <c r="I63" s="3">
        <f>(+I8+I9+I10)/12/10</f>
        <v>3826.0916666666662</v>
      </c>
      <c r="J63" s="3">
        <f>(+J8+J9+J10)/12/10</f>
        <v>6241.466666666666</v>
      </c>
      <c r="K63" s="3">
        <f>(+K8+K9+K10)/12/13</f>
        <v>3785.6987179487182</v>
      </c>
      <c r="L63" s="3">
        <f>(+L8+L9+L10)/12/13</f>
        <v>11571.314102564103</v>
      </c>
      <c r="M63" s="3">
        <f>(+M8+M9+M10)/12/14</f>
        <v>1354.279761904762</v>
      </c>
      <c r="N63" s="3">
        <f>(+N8+N9+N10)/12/14</f>
        <v>941.797619047619</v>
      </c>
      <c r="O63" s="3">
        <f>(+O8+O9+O10)/12/14</f>
        <v>3127.7738095238096</v>
      </c>
      <c r="P63" s="3">
        <f>(+P8+P9+P10)/12/14</f>
        <v>500.3392857142857</v>
      </c>
      <c r="Q63" s="3">
        <f>(+Q8+Q9+Q10)/12/15</f>
        <v>5193.083333333333</v>
      </c>
      <c r="R63" s="3">
        <f>(+R8+R9+R10)/12/18</f>
        <v>3973.9583333333335</v>
      </c>
      <c r="S63" s="3">
        <f>(+S8+S9+S10)/12/18</f>
        <v>2425.7962962962965</v>
      </c>
      <c r="T63" s="3">
        <f>(+T8+T9+T10)/12/19</f>
        <v>898.7456140350878</v>
      </c>
      <c r="U63" s="3">
        <f>(+U8+U9+U10)/12/20</f>
        <v>510.625</v>
      </c>
      <c r="V63" s="3">
        <f>(+V8+V9+V10)/12/20</f>
        <v>7734.7458333333325</v>
      </c>
      <c r="W63" s="3">
        <f>(+W8+W9+W10)/12/21</f>
        <v>1269.1785714285713</v>
      </c>
      <c r="X63" s="3">
        <f>(+X8+X9+X10)/12/21</f>
        <v>2381.59126984127</v>
      </c>
      <c r="Y63" s="3">
        <f>(+Y8+Y9+Y10)/12/22</f>
        <v>1548.6363636363637</v>
      </c>
      <c r="Z63" s="3">
        <f>(+Z8+Z9+Z10)/12/23</f>
        <v>2947.4420289855075</v>
      </c>
      <c r="AA63" s="3">
        <f>(+AA8+AA9+AA10)/12/24</f>
        <v>1460.7118055555557</v>
      </c>
      <c r="AB63" s="3">
        <f>(+AB8+AB9+AB10)/12/24</f>
        <v>2786.4270833333335</v>
      </c>
      <c r="AC63" s="3">
        <f>(+AC8+AC9+AC10)/12/25</f>
        <v>7684.993333333334</v>
      </c>
      <c r="AD63" s="3">
        <f>(+AD8+AD9+AD10)/12/28</f>
        <v>3535.473214285714</v>
      </c>
      <c r="AE63" s="3">
        <f>(+AE8+AE9+AE10)/12/30</f>
        <v>1158.3333333333333</v>
      </c>
      <c r="AF63" s="3">
        <f>(+AF8+AF9+AF10)/12/31</f>
        <v>3775.1424731182797</v>
      </c>
      <c r="AG63" s="3">
        <f>(+AG8+AG9+AG10)/12/31</f>
        <v>5664.5161290322585</v>
      </c>
      <c r="AH63" s="3">
        <f>(+AH8+AH9+AH10)/12/32</f>
        <v>3662.6380208333335</v>
      </c>
      <c r="AI63" s="3">
        <f>(+AI8)/12/32</f>
        <v>3614.0494791666665</v>
      </c>
      <c r="AJ63" s="3">
        <f>(+AJ8+AJ9+AJ10)/12/32</f>
        <v>2954.3802083333335</v>
      </c>
      <c r="AK63" s="3">
        <f>(+AK8+AK9+AK10)/12/33</f>
        <v>2686.027777777778</v>
      </c>
      <c r="AL63" s="3">
        <f>(+AL8+AL9+AL10)/12/33</f>
        <v>1997.39898989899</v>
      </c>
      <c r="AM63" s="3">
        <f>(+AM8+AM9+AM10)/12/34</f>
        <v>3343.7132352941176</v>
      </c>
      <c r="AN63" s="3">
        <f>(+AN8+AN9+AN10)/12/38</f>
        <v>2385.75</v>
      </c>
      <c r="AO63" s="3">
        <f>(+AO8+AO9+AO10)/12/35</f>
        <v>2995.9214285714284</v>
      </c>
      <c r="AP63" s="3">
        <f>(+AP8+AP9+AP10)/12/35</f>
        <v>18689.85476190476</v>
      </c>
      <c r="AQ63" s="3">
        <f>(+AQ8+AQ9+AQ10)/12/36</f>
        <v>3688.8217592592596</v>
      </c>
      <c r="AR63" s="3">
        <f>(+AR8+AR9+AR10)/12/36</f>
        <v>1443.0555555555557</v>
      </c>
      <c r="AS63" s="3">
        <f>(+AS8+AS9+AS10)/12/37</f>
        <v>5018.752252252252</v>
      </c>
      <c r="AT63" s="3">
        <f>(+AT8+AT9+AT10)/12/37</f>
        <v>2207.2162162162163</v>
      </c>
      <c r="AU63" s="3">
        <f>(+AU8+AU9+AU10)/12/37</f>
        <v>3646.689189189189</v>
      </c>
      <c r="AV63" s="3">
        <f>(+AV8+AV9+AV10)/12/38</f>
        <v>539.2565789473684</v>
      </c>
      <c r="AW63" s="3">
        <f>(+AW8+AW9+AW10)/12/40</f>
        <v>4132.795833333334</v>
      </c>
      <c r="AX63" s="3">
        <f>(+AX8+AX9+AX10)/12/40</f>
        <v>832.55625</v>
      </c>
      <c r="AY63" s="3">
        <f>(+AY8+AY9+AY10)/12/41</f>
        <v>1681.4146341463415</v>
      </c>
      <c r="AZ63" s="3">
        <f>(+AZ8+AZ9+AZ10)/12/41</f>
        <v>4626.924796747967</v>
      </c>
      <c r="BA63" s="21">
        <f>(+BA8+BA9+BA10)/12/42</f>
        <v>10043.359126984127</v>
      </c>
      <c r="BB63" s="21">
        <f>(+BB8+BB9+BB10)/12/42</f>
        <v>2655.2559523809523</v>
      </c>
      <c r="BC63" s="21">
        <f>(+BC8+BC9+BC10)/12/42</f>
        <v>835.5515873015872</v>
      </c>
      <c r="BD63" s="3">
        <f>(+BD8+BD9+BD10)/12/45</f>
        <v>1784.2833333333333</v>
      </c>
      <c r="BE63" s="3">
        <f>(+BE8+BE9+BE10)/12/45</f>
        <v>3202.009259259259</v>
      </c>
      <c r="BF63" s="3">
        <f>(+BF8+BF9+BF10)/12/46</f>
        <v>2004.769927536232</v>
      </c>
      <c r="BG63" s="3">
        <f>(+BG8+BG9+BG10)/12/48</f>
        <v>1724.5572916666667</v>
      </c>
      <c r="BH63" s="3">
        <f>(+BH8+BH9+BH10)/12/48</f>
        <v>4839.678819444444</v>
      </c>
      <c r="BI63" s="3">
        <f>(+BI8+BI9+BI10)/12/49</f>
        <v>3923.9948979591836</v>
      </c>
      <c r="BJ63" s="3">
        <f>(+BJ8+BJ9+BJ10)/12/49</f>
        <v>7546.649659863945</v>
      </c>
      <c r="BK63" s="3">
        <f>(+BK8+BK9+BK10)/12/52</f>
        <v>3062.0496794871797</v>
      </c>
      <c r="BL63" s="3">
        <f>(+BL8+BL9+BL10)/12/52</f>
        <v>4679.849358974358</v>
      </c>
      <c r="BM63" s="3">
        <f>(+BM8+BM9+BM10)/12/52</f>
        <v>941.198717948718</v>
      </c>
      <c r="BN63" s="3">
        <f>(+BN8+BN9+BN10)/12/53</f>
        <v>2424.235849056604</v>
      </c>
      <c r="BO63" s="3">
        <f>(+BO8+BO9+BO10)/12/54</f>
        <v>4672.736111111111</v>
      </c>
      <c r="BP63" s="3">
        <f>(+BP8+BP9+BP10)/12/54</f>
        <v>4415.368827160493</v>
      </c>
      <c r="BQ63" s="3">
        <f>(+BQ8+BQ9+BQ10)/12/55</f>
        <v>4426.74696969697</v>
      </c>
      <c r="BR63" s="3">
        <f>(+BR8+BR9+BR10)/12/55</f>
        <v>1431.9469696969695</v>
      </c>
      <c r="BS63" s="3">
        <f>(+BS8+BS9+BS10)/12/59</f>
        <v>2965.666666666667</v>
      </c>
      <c r="BT63" s="3">
        <f>(+BT8+BT9+BT10)/12/59</f>
        <v>1094.8983050847457</v>
      </c>
      <c r="BU63" s="3">
        <f>(+BU8+BU9+BU10)/12/60</f>
        <v>2236.605555555556</v>
      </c>
      <c r="BV63" s="3">
        <f>(+BV8+BV9+BV10)/12/60</f>
        <v>1177.611111111111</v>
      </c>
      <c r="BW63" s="3">
        <f>(+BW8+BW9+BW10)/12/60</f>
        <v>3085.4708333333333</v>
      </c>
      <c r="BX63" s="3">
        <f>(+BX8+BX9+BX10)/12/62</f>
        <v>2434.6639784946233</v>
      </c>
      <c r="BY63" s="3">
        <f>(+BY8+BY9+BY10)/12/62</f>
        <v>5225.235215053764</v>
      </c>
      <c r="BZ63" s="3">
        <f>(+BZ8+BZ9+BZ10)/12/63</f>
        <v>2272.218253968254</v>
      </c>
      <c r="CA63" s="3">
        <f>(+CA8+CA9+CA10)/12/64</f>
        <v>2953.8177083333335</v>
      </c>
      <c r="CB63" s="3">
        <f>(+CB8+CB9+CB10)/12/66</f>
        <v>4726.863636363636</v>
      </c>
      <c r="CC63" s="3">
        <f>(+CC8+CC9+CC10)/12/66</f>
        <v>1531.2853535353534</v>
      </c>
      <c r="CD63" s="3">
        <f>(+CD8+CD9+CD10)/12/67</f>
        <v>1272.8121890547263</v>
      </c>
      <c r="CE63" s="3">
        <f>(+CE8+CE9+CE10)/12/67</f>
        <v>1504.1430348258705</v>
      </c>
      <c r="CF63" s="3">
        <f>(+CF8+CF9+CF10)/12/69</f>
        <v>2726.289855072464</v>
      </c>
      <c r="CG63" s="3">
        <f>(+CG8+CG9+CG10)/12/70</f>
        <v>712.5571428571428</v>
      </c>
      <c r="CH63" s="3">
        <f>(+CH8+CH9+CH10)/12/70</f>
        <v>1781.7654761904762</v>
      </c>
      <c r="CI63" s="3">
        <f>(+CI8+CI9+CI10)/12/70</f>
        <v>3961.016666666667</v>
      </c>
      <c r="CJ63" s="3">
        <f>(+CJ8+CJ9+CJ10)/12/72</f>
        <v>2362.778935185185</v>
      </c>
      <c r="CK63" s="3">
        <f>(+CK8+CK9+CK10)/12/72</f>
        <v>2185.7361111111113</v>
      </c>
      <c r="CL63" s="3">
        <f>(+CL8+CL9+CL10)/12/74</f>
        <v>632.6700450450451</v>
      </c>
      <c r="CM63" s="3">
        <f>(+CM8+CM9+CM10)/12/75</f>
        <v>1831.067777777778</v>
      </c>
      <c r="CN63" s="3">
        <f>(+CN8+CN9+CN10)/12/75</f>
        <v>2126.042222222222</v>
      </c>
      <c r="CO63" s="3">
        <f>(+CO8+CO9+CO10)/12/75</f>
        <v>3893.04</v>
      </c>
      <c r="CP63" s="3">
        <f>(+CP8+CP9+CP10)/12/76</f>
        <v>5936.458333333333</v>
      </c>
      <c r="CQ63" s="3">
        <f>(+CQ8+CQ9+CQ10)/12/77</f>
        <v>2199.978354978355</v>
      </c>
      <c r="CR63" s="3">
        <f>(+CR8+CR9+CR10)/12/80</f>
        <v>2297.989583333333</v>
      </c>
      <c r="CS63" s="3">
        <f>(+CS8+CS9+CS10)/12/78</f>
        <v>1905.7478632478633</v>
      </c>
      <c r="CT63" s="3">
        <f>(+CT8+CT9+CT10)/12/81</f>
        <v>1180.7705761316872</v>
      </c>
      <c r="CU63" s="3">
        <f>(+CU8+CU9+CU10)/12/81</f>
        <v>1739.5895061728395</v>
      </c>
      <c r="CV63" s="3">
        <f>(+CV8+CV9+CV10)/12/82</f>
        <v>2124.7123983739834</v>
      </c>
      <c r="CW63" s="3">
        <f>(+CW8+CW9+CW10)/12/83</f>
        <v>1545.789156626506</v>
      </c>
      <c r="CX63" s="49">
        <f>(+CX8+CX9+CX10)/12/84</f>
        <v>924.1825396825396</v>
      </c>
      <c r="CY63" s="3">
        <f>(+CY8+CY9+CY10)/12/87</f>
        <v>2042.5181992337166</v>
      </c>
      <c r="CZ63" s="3">
        <f>(+CZ8+CZ9+CZ10)/12/90</f>
        <v>2924.1944444444443</v>
      </c>
      <c r="DA63" s="3">
        <f>(+DA8+DA9+DA10)/12/91</f>
        <v>4671.297619047619</v>
      </c>
      <c r="DB63" s="3">
        <f>(+DB8+DB9+DB10)/12/91</f>
        <v>1016.6172161172161</v>
      </c>
      <c r="DC63" s="3">
        <f>(+DC8+DC9+DC10)/12/91</f>
        <v>636.3946886446886</v>
      </c>
      <c r="DD63" s="3">
        <f>(+DD8+DD9+DD10)/12/92</f>
        <v>3778.461956521739</v>
      </c>
      <c r="DE63" s="3">
        <f>(+DE8+DE9+DE10)/12/92</f>
        <v>1450.253623188406</v>
      </c>
      <c r="DF63" s="3">
        <f>(+DF8+DF9+DF10)/12/93</f>
        <v>1389.578853046595</v>
      </c>
      <c r="DG63" s="3">
        <f>(+DG8+DG9+DG10)/12/93</f>
        <v>2633.4704301075267</v>
      </c>
      <c r="DH63" s="3">
        <f>(+DH8+DH9+DH10)/12/93</f>
        <v>3039.339605734767</v>
      </c>
      <c r="DI63" s="3">
        <f>(+DI8+DI9+DI10)/12/95</f>
        <v>2972.9885964912282</v>
      </c>
      <c r="DJ63" s="1">
        <f>(+DJ8+DJ9+DJ10)/12/96</f>
        <v>3245.730034722222</v>
      </c>
      <c r="DK63" s="3">
        <f>(+DK8+DK9+DK10)/12/98</f>
        <v>1436.313775510204</v>
      </c>
      <c r="DL63" s="3">
        <f>(+DL8+DL9+DL10)/12/98</f>
        <v>2738.954081632653</v>
      </c>
      <c r="DM63" s="3">
        <f>(+DM8+DM9+DM10)/12/98</f>
        <v>2130.7117346938776</v>
      </c>
      <c r="DN63" s="3">
        <f>(+DN8+DN9+DN10)/12/101</f>
        <v>876.0387788778878</v>
      </c>
      <c r="DO63" s="3">
        <f>(+DO8+DO9+DO10)/12/102</f>
        <v>1459.1111111111113</v>
      </c>
      <c r="DP63" s="3">
        <f>(+DP8+DP9+DP10)/12/102</f>
        <v>210.41584967320262</v>
      </c>
      <c r="DQ63" s="3">
        <f>(+DQ8+DQ9+DQ10)/12/103</f>
        <v>2267.265372168285</v>
      </c>
      <c r="DR63" s="3">
        <f>(+DR8+DR9+DR10)/12/103</f>
        <v>1389.84142394822</v>
      </c>
      <c r="DS63" s="3">
        <f>(+DS8+DS9+DS10)/12/106</f>
        <v>2212.2783018867926</v>
      </c>
      <c r="DT63" s="3">
        <f>+DT8/12/108</f>
        <v>1051.141975308642</v>
      </c>
      <c r="DU63" s="3">
        <f>+DU8/12/109</f>
        <v>1535.7844036697247</v>
      </c>
      <c r="DV63" s="3">
        <f>+DV8/12/110</f>
        <v>851.8674242424242</v>
      </c>
      <c r="DW63" s="3">
        <f>(+DW8+DW9+DW10)/12/114</f>
        <v>1971.079678362573</v>
      </c>
      <c r="DX63" s="3">
        <f>(+DX8+DX9+DX10)/12/115</f>
        <v>1827.0550724637683</v>
      </c>
      <c r="DY63" s="3">
        <f>(+DY8+DY9+DY10)/12/119</f>
        <v>1170.7955182072828</v>
      </c>
      <c r="DZ63" s="3">
        <f>(+DZ8+DZ9+DZ10)/12/121</f>
        <v>1909.568870523416</v>
      </c>
      <c r="EA63" s="3">
        <f>(+EA8+EA9+EA10)/12/124</f>
        <v>1691.391129032258</v>
      </c>
      <c r="EB63" s="3">
        <f>(+EB8+EB9+EB10)/12/127</f>
        <v>1401.3031496062993</v>
      </c>
      <c r="EC63" s="3">
        <f>(+EC8+EC9+EC10)/12/129</f>
        <v>979.0387596899225</v>
      </c>
      <c r="ED63" s="3">
        <f>(+ED8+ED9+ED10)/12/129</f>
        <v>896.0329457364342</v>
      </c>
      <c r="EE63" s="3">
        <f>(+EE8+EE9+EE10)/12/130</f>
        <v>1107.7153846153847</v>
      </c>
      <c r="EF63" s="3">
        <f>(+EF8+EF9+EF10)/12/131</f>
        <v>1461.6539440203562</v>
      </c>
      <c r="EG63" s="3">
        <f>(+EG8+EG9+EG10)/12/132</f>
        <v>896.6805555555555</v>
      </c>
      <c r="EH63" s="3">
        <f>(+EH8+EH9+EH10)/12/134</f>
        <v>1977.6710199004976</v>
      </c>
      <c r="EI63" s="3">
        <f>(+EI8+EI9+EI10)/12/135</f>
        <v>2384.895061728395</v>
      </c>
      <c r="EJ63" s="3">
        <f>(+EJ8+EJ9+EJ10)/12/137</f>
        <v>1173.5407542579076</v>
      </c>
      <c r="EK63" s="3">
        <f>(+EK8+EK9+EK10)/12/138</f>
        <v>7447.318236714976</v>
      </c>
      <c r="EL63" s="3">
        <f>(+EL8+EL9+EL10)/12/142</f>
        <v>1054.2048122065728</v>
      </c>
      <c r="EM63" s="3">
        <f>(+EM8+EM9+EM10)/12/145</f>
        <v>1498.5362068965517</v>
      </c>
      <c r="EN63" s="3">
        <f>(+EN8+EN9+EN10)/12/146</f>
        <v>1688.6849315068494</v>
      </c>
      <c r="EO63" s="3">
        <f>(+EO8+EO9+EO10)/12/146</f>
        <v>764.527397260274</v>
      </c>
      <c r="EP63" s="3">
        <f>(+EP8+EP9+EP10)/12/149</f>
        <v>2230.788590604027</v>
      </c>
      <c r="EQ63" s="3">
        <f>(+EQ8+EQ9+EQ10)/12/162</f>
        <v>626.9238683127572</v>
      </c>
      <c r="ER63" s="3">
        <f>(+ER8+ER9+ER10)/12/162</f>
        <v>2797.7885802469136</v>
      </c>
      <c r="ES63" s="3">
        <f>(+ES8+ES9+ES10)/12/165</f>
        <v>2234.2393939393937</v>
      </c>
      <c r="ET63" s="3">
        <f>(+ET8+ET9+ET10)/12/166</f>
        <v>1743.1064257028113</v>
      </c>
      <c r="EU63" s="3">
        <f>(+EU8+EU9+EU10)/12/166</f>
        <v>1654.058232931727</v>
      </c>
      <c r="EV63" s="21">
        <f>(+EV8+EV9+EV10)/12/172</f>
        <v>1482.2160852713178</v>
      </c>
      <c r="EW63" s="3">
        <f>(+EW8+EW9+EW10)/12/182</f>
        <v>2654.733974358974</v>
      </c>
      <c r="EX63" s="3">
        <f>(+EX8)/12/186</f>
        <v>1206.9655017921148</v>
      </c>
      <c r="EY63" s="3">
        <f>(+EY8+EY9+EY10)/12/189</f>
        <v>1789.3002645502645</v>
      </c>
      <c r="EZ63" s="3">
        <f>(+EZ8+EZ9+EZ10)/12/191</f>
        <v>1058.6649214659685</v>
      </c>
      <c r="FA63" s="3">
        <f>(+FA8+FA9+FA10)/12/192</f>
        <v>1409.34765625</v>
      </c>
      <c r="FB63" s="3">
        <f>(+FB8+FB9+FB10)/12/189</f>
        <v>1798.2623456790122</v>
      </c>
      <c r="FC63" s="3">
        <f>(+FC8+FC9+FC10)/12/204</f>
        <v>1276.2671568627452</v>
      </c>
      <c r="FD63" s="3">
        <f>(+FD8+FD9+FD10)/12/205</f>
        <v>1178.2471544715447</v>
      </c>
      <c r="FE63" s="3">
        <f>(+FE8+FE9+FE10)/12/205</f>
        <v>1511.6621951219513</v>
      </c>
      <c r="FF63" s="3">
        <f>(+FF8+FF9+FF10)/12/216</f>
        <v>1197.1770833333333</v>
      </c>
      <c r="FG63" s="3">
        <f>(+FG8+FG9+FG10)/12/219</f>
        <v>1223.9562404870626</v>
      </c>
      <c r="FH63" s="3">
        <f>(+FH8+FH9+FH10)/12/220</f>
        <v>2062.6920454545457</v>
      </c>
      <c r="FI63" s="3">
        <f>(+FI8+FI9+FI10)/12/234</f>
        <v>3294.0056980056984</v>
      </c>
      <c r="FJ63" s="3">
        <f>(+FJ8+FJ9+FJ10)/12/239</f>
        <v>586.0090655509065</v>
      </c>
      <c r="FK63" s="3">
        <f>(+FK8+FK9+FK10)/12/242</f>
        <v>1588.473829201102</v>
      </c>
      <c r="FL63" s="3">
        <f>(+FL8+FL9+FL10)/12/242</f>
        <v>1683.2703168044077</v>
      </c>
      <c r="FM63" s="3">
        <f>(+FM8+FM9+FM10)/12/248</f>
        <v>2209.0877016129034</v>
      </c>
      <c r="FN63" s="3">
        <f>(+FN8+FN9+FN10)/12/249</f>
        <v>4271.686746987952</v>
      </c>
      <c r="FO63" s="3">
        <f>(+FO8+FO9+FO10)/12/257</f>
        <v>1152.9127756160829</v>
      </c>
      <c r="FP63" s="3">
        <f>(+FP8+FP9+FP10)/12/261</f>
        <v>697.3113026819923</v>
      </c>
      <c r="FQ63" s="3">
        <f>(+FQ8+FQ9+FQ10)/12/261</f>
        <v>828.0628991060025</v>
      </c>
      <c r="FR63" s="3">
        <f>(+FR8+FR9+FR10)/12/262</f>
        <v>1039.9646946564885</v>
      </c>
      <c r="FS63" s="3">
        <f>(+FS8+FS9+FS10)/12/283</f>
        <v>1841.9793875147234</v>
      </c>
      <c r="FT63" s="3">
        <f>(+FT8+FT9+FT10)/12/287</f>
        <v>2040.1405342624855</v>
      </c>
      <c r="FU63" s="49">
        <f>(+FU8+FU9+FU10)/12/287</f>
        <v>732.9608013937283</v>
      </c>
      <c r="FV63" s="49">
        <f>(+FV8+FV9+FV10)/12/290</f>
        <v>1001.0709770114942</v>
      </c>
      <c r="FW63" s="3">
        <f>(+FW8+FW9+FW10)/12/294</f>
        <v>2712.077947845805</v>
      </c>
      <c r="FX63" s="3">
        <f>(+FX8+FX9+FX10)/12/309</f>
        <v>2559.728425026969</v>
      </c>
      <c r="FY63" s="3">
        <f>(+FY8+FY9+FY10)/12/310</f>
        <v>682.0438172043011</v>
      </c>
      <c r="FZ63" s="3">
        <f>(+FZ8+FZ9+FZ10)/12/340</f>
        <v>1558.2855392156864</v>
      </c>
      <c r="GA63" s="3">
        <f>(+GA8+GA9+GA10)/12/348</f>
        <v>2191.77969348659</v>
      </c>
      <c r="GB63" s="3">
        <f>(+GB8+GB9+GB10)/12/382</f>
        <v>1225.9578970331588</v>
      </c>
      <c r="GC63" s="3">
        <f>(+GC8+GC9+GC10)/12/400</f>
        <v>1249.579375</v>
      </c>
      <c r="GD63" s="3">
        <f>(+GD8+GD13+GD10)/12/410</f>
        <v>1749.4880081300814</v>
      </c>
      <c r="GE63" s="3">
        <f>(+GE8+GE9+GE10)/12/410</f>
        <v>936.9930894308943</v>
      </c>
      <c r="GF63" s="3">
        <f>(+GF8+GF9+GF10)/12/414</f>
        <v>528.5555555555555</v>
      </c>
      <c r="GG63" s="3">
        <f>(+GG8+GG9+GG10)/12/415</f>
        <v>2329.6548192771083</v>
      </c>
      <c r="GH63" s="3">
        <f>(+GH8+GH9+GH10)/12/420</f>
        <v>1424.4019841269842</v>
      </c>
      <c r="GI63" s="3">
        <f>(+GI8+GI9+GI10)/12/492</f>
        <v>1437.0050813008131</v>
      </c>
      <c r="GJ63" s="21">
        <f>(+GJ8+GJ9+GJ10)/12/493</f>
        <v>1927.9819134550373</v>
      </c>
      <c r="GK63" s="3">
        <f>(+GK8+GK9+GK10)/12/493</f>
        <v>1497.7814401622718</v>
      </c>
      <c r="GL63" s="3">
        <f>(+GL8+GL9+GL10)/12/550</f>
        <v>1993.736515151515</v>
      </c>
      <c r="GM63" s="3">
        <f>(+GM8+GM9+GM10)/12/552</f>
        <v>867.555404589372</v>
      </c>
      <c r="GN63" s="3">
        <f>(+GN8+GN9+GN10)/12/587</f>
        <v>1726.4054514480408</v>
      </c>
      <c r="GO63" s="3">
        <f>(+GO8+GO9+GO10)/12/628</f>
        <v>2079.3139596602973</v>
      </c>
      <c r="GP63" s="3">
        <f>(+GP8+GP13+GP9)/12/645</f>
        <v>821.9720930232559</v>
      </c>
    </row>
    <row r="64" spans="1:198" ht="15">
      <c r="A64" s="4" t="s">
        <v>267</v>
      </c>
      <c r="B64" s="9">
        <v>0.0076</v>
      </c>
      <c r="C64" s="9">
        <v>0</v>
      </c>
      <c r="D64" s="9">
        <v>0</v>
      </c>
      <c r="E64" s="9">
        <v>0</v>
      </c>
      <c r="F64" s="9">
        <v>0.05</v>
      </c>
      <c r="G64" s="9">
        <v>0</v>
      </c>
      <c r="H64" s="9">
        <v>0.05</v>
      </c>
      <c r="I64" s="9">
        <v>0</v>
      </c>
      <c r="J64" s="9">
        <v>0</v>
      </c>
      <c r="K64" s="9">
        <v>0.025</v>
      </c>
      <c r="L64" s="9">
        <v>0.0446</v>
      </c>
      <c r="M64" s="9">
        <v>0.18</v>
      </c>
      <c r="N64" s="9">
        <v>0</v>
      </c>
      <c r="O64" s="9">
        <v>0.0246</v>
      </c>
      <c r="P64" s="9">
        <v>0.025</v>
      </c>
      <c r="Q64" s="9">
        <v>0</v>
      </c>
      <c r="R64" s="9">
        <v>0.025</v>
      </c>
      <c r="S64" s="9">
        <v>0.0315</v>
      </c>
      <c r="T64" s="9">
        <v>0</v>
      </c>
      <c r="U64" s="9">
        <v>0.0248</v>
      </c>
      <c r="V64" s="9">
        <v>0.02</v>
      </c>
      <c r="W64" s="9">
        <v>0</v>
      </c>
      <c r="X64" s="9">
        <v>0.0187</v>
      </c>
      <c r="Y64" s="9">
        <v>0.05</v>
      </c>
      <c r="Z64" s="9">
        <v>0</v>
      </c>
      <c r="AA64" s="9">
        <v>0</v>
      </c>
      <c r="AB64" s="9">
        <v>0</v>
      </c>
      <c r="AC64" s="9">
        <v>0.03</v>
      </c>
      <c r="AD64" s="9">
        <v>0</v>
      </c>
      <c r="AE64" s="9">
        <v>0</v>
      </c>
      <c r="AF64" s="9">
        <v>0.015</v>
      </c>
      <c r="AG64" s="9">
        <v>0</v>
      </c>
      <c r="AH64" s="9">
        <v>0.0275</v>
      </c>
      <c r="AI64" s="9">
        <v>0</v>
      </c>
      <c r="AJ64" s="9">
        <v>0.0425</v>
      </c>
      <c r="AK64" s="9">
        <v>0</v>
      </c>
      <c r="AL64" s="9">
        <v>0.011</v>
      </c>
      <c r="AM64" s="9">
        <v>0.02</v>
      </c>
      <c r="AN64" s="9">
        <v>0</v>
      </c>
      <c r="AO64" s="9">
        <v>0.01</v>
      </c>
      <c r="AP64" s="9">
        <v>0.0572</v>
      </c>
      <c r="AQ64" s="9">
        <v>0.0185</v>
      </c>
      <c r="AR64" s="9">
        <v>0</v>
      </c>
      <c r="AS64" s="9">
        <v>0.0277</v>
      </c>
      <c r="AT64" s="9">
        <v>0.05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0.035</v>
      </c>
      <c r="BA64" s="22">
        <v>0.02</v>
      </c>
      <c r="BB64" s="22">
        <v>0.0376</v>
      </c>
      <c r="BC64" s="22">
        <v>0</v>
      </c>
      <c r="BD64" s="9">
        <v>0.02</v>
      </c>
      <c r="BE64" s="9">
        <v>0.047</v>
      </c>
      <c r="BF64" s="9">
        <v>0</v>
      </c>
      <c r="BG64" s="9">
        <v>0.05</v>
      </c>
      <c r="BH64" s="9">
        <v>0.0383</v>
      </c>
      <c r="BI64" s="9">
        <v>0.0291</v>
      </c>
      <c r="BJ64" s="9">
        <v>0.0348</v>
      </c>
      <c r="BK64" s="9">
        <v>0</v>
      </c>
      <c r="BL64" s="9">
        <v>0</v>
      </c>
      <c r="BM64" s="9">
        <v>0.054</v>
      </c>
      <c r="BN64" s="9">
        <v>0.0033</v>
      </c>
      <c r="BO64" s="9">
        <v>0.08</v>
      </c>
      <c r="BP64" s="9">
        <v>0.0425</v>
      </c>
      <c r="BQ64" s="9">
        <v>0.02</v>
      </c>
      <c r="BR64" s="9">
        <v>0.03</v>
      </c>
      <c r="BS64" s="9">
        <v>0.1</v>
      </c>
      <c r="BT64" s="9">
        <v>0</v>
      </c>
      <c r="BU64" s="9">
        <v>0</v>
      </c>
      <c r="BV64" s="9">
        <v>0.0397</v>
      </c>
      <c r="BW64" s="9">
        <v>0</v>
      </c>
      <c r="BX64" s="9">
        <v>0.0312</v>
      </c>
      <c r="BY64" s="9">
        <v>0.057</v>
      </c>
      <c r="BZ64" s="9">
        <v>0</v>
      </c>
      <c r="CA64" s="9">
        <v>0</v>
      </c>
      <c r="CB64" s="9">
        <v>0.045</v>
      </c>
      <c r="CC64" s="9">
        <v>0.0034</v>
      </c>
      <c r="CD64" s="9">
        <v>0.0647</v>
      </c>
      <c r="CE64" s="9">
        <v>0</v>
      </c>
      <c r="CF64" s="9">
        <v>0.0131</v>
      </c>
      <c r="CG64" s="9">
        <v>0.0204</v>
      </c>
      <c r="CH64" s="9">
        <v>0.07</v>
      </c>
      <c r="CI64" s="9">
        <v>0.0279</v>
      </c>
      <c r="CJ64" s="9">
        <v>0.048</v>
      </c>
      <c r="CK64" s="9">
        <v>0</v>
      </c>
      <c r="CL64" s="9">
        <v>0</v>
      </c>
      <c r="CM64" s="9">
        <v>0.0137</v>
      </c>
      <c r="CN64" s="9">
        <v>0.0002</v>
      </c>
      <c r="CO64" s="9">
        <v>0.0092</v>
      </c>
      <c r="CP64" s="9">
        <v>0.03</v>
      </c>
      <c r="CQ64" s="9">
        <v>0.0366</v>
      </c>
      <c r="CR64" s="9">
        <v>0.064</v>
      </c>
      <c r="CS64" s="9">
        <v>0.0475</v>
      </c>
      <c r="CT64" s="9">
        <v>0</v>
      </c>
      <c r="CU64" s="9">
        <v>0.0391</v>
      </c>
      <c r="CV64" s="9">
        <v>0</v>
      </c>
      <c r="CW64" s="9">
        <v>0.1453</v>
      </c>
      <c r="CX64" s="50">
        <v>0</v>
      </c>
      <c r="CY64" s="9">
        <v>0.0478</v>
      </c>
      <c r="CZ64" s="9">
        <v>0.0665</v>
      </c>
      <c r="DA64" s="9">
        <v>0.0384</v>
      </c>
      <c r="DB64" s="9">
        <v>0.0151</v>
      </c>
      <c r="DC64" s="9">
        <v>0</v>
      </c>
      <c r="DD64" s="9">
        <v>0.026</v>
      </c>
      <c r="DE64" s="9">
        <v>0.0206</v>
      </c>
      <c r="DF64" s="9">
        <v>0.0152</v>
      </c>
      <c r="DG64" s="9">
        <v>0.03</v>
      </c>
      <c r="DH64" s="9">
        <v>0.03</v>
      </c>
      <c r="DI64" s="9">
        <v>0</v>
      </c>
      <c r="DJ64" s="9">
        <v>0.0333</v>
      </c>
      <c r="DK64" s="9">
        <v>0.0329</v>
      </c>
      <c r="DL64" s="9">
        <v>0</v>
      </c>
      <c r="DM64" s="9">
        <v>0.02</v>
      </c>
      <c r="DN64" s="9">
        <v>0</v>
      </c>
      <c r="DO64" s="9">
        <v>0</v>
      </c>
      <c r="DP64" s="9">
        <v>0</v>
      </c>
      <c r="DQ64" s="9">
        <v>0.0252</v>
      </c>
      <c r="DR64" s="9">
        <v>0.02</v>
      </c>
      <c r="DS64" s="9">
        <v>0.0544</v>
      </c>
      <c r="DT64" s="9">
        <v>0.025</v>
      </c>
      <c r="DU64" s="9">
        <v>0</v>
      </c>
      <c r="DV64" s="9">
        <v>0.0554</v>
      </c>
      <c r="DW64" s="9">
        <v>0.045</v>
      </c>
      <c r="DX64" s="9">
        <v>0.0454</v>
      </c>
      <c r="DY64" s="9">
        <v>0.0374</v>
      </c>
      <c r="DZ64" s="9">
        <v>0.03</v>
      </c>
      <c r="EA64" s="9">
        <v>0.027</v>
      </c>
      <c r="EB64" s="9">
        <v>0.03</v>
      </c>
      <c r="EC64" s="9">
        <v>0.0273</v>
      </c>
      <c r="ED64" s="9">
        <v>0</v>
      </c>
      <c r="EE64" s="9">
        <v>0.02</v>
      </c>
      <c r="EF64" s="9">
        <v>0</v>
      </c>
      <c r="EG64" s="9">
        <v>0.01</v>
      </c>
      <c r="EH64" s="9">
        <v>0.015</v>
      </c>
      <c r="EI64" s="9">
        <v>0.026</v>
      </c>
      <c r="EJ64" s="9">
        <v>0.035</v>
      </c>
      <c r="EK64" s="9">
        <v>0.0628</v>
      </c>
      <c r="EL64" s="9">
        <v>0</v>
      </c>
      <c r="EM64" s="9">
        <v>0</v>
      </c>
      <c r="EN64" s="9">
        <v>0.03</v>
      </c>
      <c r="EO64" s="9">
        <v>0</v>
      </c>
      <c r="EP64" s="9">
        <v>0</v>
      </c>
      <c r="EQ64" s="9">
        <v>0</v>
      </c>
      <c r="ER64" s="9">
        <v>0.025</v>
      </c>
      <c r="ES64" s="9">
        <v>0</v>
      </c>
      <c r="ET64" s="9">
        <v>0</v>
      </c>
      <c r="EU64" s="9">
        <v>0.02</v>
      </c>
      <c r="EV64" s="22">
        <v>0</v>
      </c>
      <c r="EW64" s="9">
        <v>0.005</v>
      </c>
      <c r="EX64" s="9">
        <v>0.02</v>
      </c>
      <c r="EY64" s="9">
        <v>0.03</v>
      </c>
      <c r="EZ64" s="9">
        <v>0.0492</v>
      </c>
      <c r="FA64" s="9">
        <v>0.05</v>
      </c>
      <c r="FB64" s="9">
        <v>0.03</v>
      </c>
      <c r="FC64" s="9">
        <v>0</v>
      </c>
      <c r="FD64" s="9">
        <v>0.0217</v>
      </c>
      <c r="FE64" s="9">
        <v>0.05</v>
      </c>
      <c r="FF64" s="9">
        <v>-0.0182</v>
      </c>
      <c r="FG64" s="9">
        <v>0.02</v>
      </c>
      <c r="FH64" s="9">
        <v>0.0203</v>
      </c>
      <c r="FI64" s="9">
        <v>0</v>
      </c>
      <c r="FJ64" s="9">
        <v>0</v>
      </c>
      <c r="FK64" s="9">
        <v>0.0594</v>
      </c>
      <c r="FL64" s="9">
        <v>0.0112</v>
      </c>
      <c r="FM64" s="9">
        <v>0.05</v>
      </c>
      <c r="FN64" s="9">
        <v>0</v>
      </c>
      <c r="FO64" s="9">
        <v>0</v>
      </c>
      <c r="FP64" s="9">
        <v>0.01</v>
      </c>
      <c r="FQ64" s="9">
        <v>0.015</v>
      </c>
      <c r="FR64" s="9">
        <v>0</v>
      </c>
      <c r="FS64" s="9">
        <v>0.03</v>
      </c>
      <c r="FT64" s="9">
        <v>0.0684</v>
      </c>
      <c r="FU64" s="50">
        <v>0</v>
      </c>
      <c r="FV64" s="50">
        <v>0.0384</v>
      </c>
      <c r="FW64" s="9">
        <v>0.03</v>
      </c>
      <c r="FX64" s="9">
        <v>0</v>
      </c>
      <c r="FY64" s="9">
        <v>0.01</v>
      </c>
      <c r="FZ64" s="9">
        <v>0.049</v>
      </c>
      <c r="GA64" s="9">
        <v>0.031</v>
      </c>
      <c r="GB64" s="9">
        <v>0</v>
      </c>
      <c r="GC64" s="9">
        <v>0</v>
      </c>
      <c r="GD64" s="9">
        <v>0</v>
      </c>
      <c r="GE64" s="9">
        <v>0.045</v>
      </c>
      <c r="GF64" s="9">
        <v>0.015</v>
      </c>
      <c r="GG64" s="9">
        <v>0.0325</v>
      </c>
      <c r="GH64" s="9">
        <v>0.02</v>
      </c>
      <c r="GI64" s="9">
        <v>0.04</v>
      </c>
      <c r="GJ64" s="22">
        <v>0.03</v>
      </c>
      <c r="GK64" s="9">
        <v>0.0366</v>
      </c>
      <c r="GL64" s="9">
        <v>0.0275</v>
      </c>
      <c r="GM64" s="9">
        <v>0.0295</v>
      </c>
      <c r="GN64" s="9">
        <v>0.025</v>
      </c>
      <c r="GO64" s="9">
        <v>0.025</v>
      </c>
      <c r="GP64" s="9">
        <v>0.02</v>
      </c>
    </row>
    <row r="65" spans="1:198" ht="15">
      <c r="A65" s="4" t="s">
        <v>43</v>
      </c>
      <c r="B65" s="3"/>
      <c r="C65" s="3"/>
      <c r="D65" s="3"/>
      <c r="E65" s="23">
        <v>0.47</v>
      </c>
      <c r="F65" s="24">
        <v>0.38</v>
      </c>
      <c r="G65" s="24"/>
      <c r="H65" s="3"/>
      <c r="I65" s="3"/>
      <c r="J65" s="3"/>
      <c r="K65" s="23"/>
      <c r="L65" s="23">
        <v>0.35</v>
      </c>
      <c r="M65" s="23"/>
      <c r="N65" s="23">
        <v>0.62</v>
      </c>
      <c r="O65" s="23"/>
      <c r="P65" s="23"/>
      <c r="Q65" s="23"/>
      <c r="R65" s="23"/>
      <c r="S65" s="23"/>
      <c r="T65" s="3"/>
      <c r="U65" s="3"/>
      <c r="V65" s="23">
        <v>0.4</v>
      </c>
      <c r="W65" s="3"/>
      <c r="X65" s="24">
        <v>0.53</v>
      </c>
      <c r="Y65" s="24">
        <v>0.4</v>
      </c>
      <c r="Z65" s="23"/>
      <c r="AA65" s="24">
        <v>0.48</v>
      </c>
      <c r="AB65" s="24"/>
      <c r="AC65" s="24">
        <v>0.46</v>
      </c>
      <c r="AD65" s="3"/>
      <c r="AE65" s="23">
        <v>0.5</v>
      </c>
      <c r="AF65" s="23">
        <v>0.46</v>
      </c>
      <c r="AG65" s="23"/>
      <c r="AH65" s="24">
        <v>0.34</v>
      </c>
      <c r="AI65" s="3"/>
      <c r="AJ65" s="3"/>
      <c r="AK65" s="3"/>
      <c r="AL65" s="3"/>
      <c r="AM65" s="24">
        <v>0.43</v>
      </c>
      <c r="AN65" s="24">
        <v>0.48</v>
      </c>
      <c r="AO65" s="24">
        <v>0.33</v>
      </c>
      <c r="AP65" s="24">
        <v>0.49</v>
      </c>
      <c r="AQ65" s="24">
        <v>0.38</v>
      </c>
      <c r="AR65" s="24"/>
      <c r="AS65" s="24">
        <v>0.45</v>
      </c>
      <c r="AT65" s="24">
        <v>0.59</v>
      </c>
      <c r="AU65" s="24">
        <v>0.52</v>
      </c>
      <c r="AV65" s="25"/>
      <c r="AW65" s="24">
        <v>0.26</v>
      </c>
      <c r="AX65" s="24">
        <v>0.55</v>
      </c>
      <c r="AY65" s="24">
        <v>0.42</v>
      </c>
      <c r="AZ65" s="24">
        <v>0.46</v>
      </c>
      <c r="BA65" s="26">
        <v>0.46</v>
      </c>
      <c r="BB65" s="26"/>
      <c r="BC65" s="26">
        <v>0.44</v>
      </c>
      <c r="BD65" s="23">
        <v>0.56</v>
      </c>
      <c r="BE65" s="24">
        <v>0.62</v>
      </c>
      <c r="BF65" s="24">
        <v>0.62</v>
      </c>
      <c r="BG65" s="24">
        <v>0.59</v>
      </c>
      <c r="BH65" s="24">
        <v>0.45</v>
      </c>
      <c r="BI65" s="24">
        <v>0.39</v>
      </c>
      <c r="BJ65" s="24">
        <v>0.45</v>
      </c>
      <c r="BK65" s="3"/>
      <c r="BL65" s="24">
        <v>0.45</v>
      </c>
      <c r="BM65" s="24">
        <v>0.58</v>
      </c>
      <c r="BN65" s="24"/>
      <c r="BO65" s="24">
        <v>0.41</v>
      </c>
      <c r="BP65" s="24">
        <v>0.46</v>
      </c>
      <c r="BQ65" s="24">
        <v>0.49</v>
      </c>
      <c r="BR65" s="24"/>
      <c r="BS65" s="24">
        <v>0.47</v>
      </c>
      <c r="BT65" s="24">
        <v>0.3</v>
      </c>
      <c r="BU65" s="24">
        <v>0.44</v>
      </c>
      <c r="BV65" s="3"/>
      <c r="BW65" s="24">
        <v>0.43</v>
      </c>
      <c r="BX65" s="3"/>
      <c r="BY65" s="24">
        <v>0.47</v>
      </c>
      <c r="BZ65" s="24"/>
      <c r="CA65" s="24">
        <v>0.46</v>
      </c>
      <c r="CB65" s="24">
        <v>0.41</v>
      </c>
      <c r="CC65" s="3"/>
      <c r="CD65" s="3"/>
      <c r="CE65" s="3"/>
      <c r="CF65" s="3"/>
      <c r="CG65" s="3"/>
      <c r="CH65" s="24">
        <v>0.56</v>
      </c>
      <c r="CI65" s="24">
        <v>0.44</v>
      </c>
      <c r="CJ65" s="24">
        <v>0.49</v>
      </c>
      <c r="CK65" s="24">
        <v>0.39</v>
      </c>
      <c r="CL65" s="24">
        <v>0.53</v>
      </c>
      <c r="CM65" s="24">
        <v>0.46</v>
      </c>
      <c r="CN65" s="24">
        <v>0.39</v>
      </c>
      <c r="CO65" s="24">
        <v>0.45</v>
      </c>
      <c r="CP65" s="24">
        <v>0.4</v>
      </c>
      <c r="CQ65" s="24">
        <v>0.46</v>
      </c>
      <c r="CR65" s="24">
        <v>0.53</v>
      </c>
      <c r="CS65" s="24">
        <v>0.43</v>
      </c>
      <c r="CT65" s="24">
        <v>0.53</v>
      </c>
      <c r="CU65" s="24">
        <v>0.45</v>
      </c>
      <c r="CV65" s="24">
        <v>0.39</v>
      </c>
      <c r="CW65" s="24">
        <v>0.52</v>
      </c>
      <c r="CX65" s="51">
        <v>0.3</v>
      </c>
      <c r="CY65" s="24"/>
      <c r="CZ65" s="24">
        <v>0.43</v>
      </c>
      <c r="DA65" s="24">
        <v>0.48</v>
      </c>
      <c r="DB65" s="24"/>
      <c r="DC65" s="24"/>
      <c r="DD65" s="24">
        <v>0.45</v>
      </c>
      <c r="DE65" s="24"/>
      <c r="DF65" s="24">
        <v>0.42</v>
      </c>
      <c r="DG65" s="24">
        <v>0.45</v>
      </c>
      <c r="DH65" s="24"/>
      <c r="DI65" s="24">
        <v>0.5</v>
      </c>
      <c r="DJ65" s="42"/>
      <c r="DK65" s="24"/>
      <c r="DL65" s="24">
        <v>0.48</v>
      </c>
      <c r="DM65" s="24">
        <v>0.31</v>
      </c>
      <c r="DN65" s="24"/>
      <c r="DO65" s="24"/>
      <c r="DP65" s="24"/>
      <c r="DQ65" s="24">
        <v>0.48</v>
      </c>
      <c r="DR65" s="24">
        <v>0.51</v>
      </c>
      <c r="DS65" s="24">
        <v>0.49</v>
      </c>
      <c r="DT65" s="24"/>
      <c r="DU65" s="24"/>
      <c r="DV65" s="24"/>
      <c r="DW65" s="24">
        <v>0.53</v>
      </c>
      <c r="DX65" s="24"/>
      <c r="DY65" s="24">
        <v>0.67</v>
      </c>
      <c r="DZ65" s="24">
        <v>0.44</v>
      </c>
      <c r="EA65" s="24">
        <v>0.53</v>
      </c>
      <c r="EB65" s="24">
        <v>0.55</v>
      </c>
      <c r="EC65" s="24">
        <v>0.36</v>
      </c>
      <c r="ED65" s="24"/>
      <c r="EE65" s="24">
        <v>0.57</v>
      </c>
      <c r="EF65" s="24">
        <v>0.43</v>
      </c>
      <c r="EG65" s="24">
        <v>0.31</v>
      </c>
      <c r="EH65" s="24">
        <v>0.53</v>
      </c>
      <c r="EI65" s="24">
        <v>0.56</v>
      </c>
      <c r="EJ65" s="24">
        <v>0.63</v>
      </c>
      <c r="EK65" s="24">
        <v>0.58</v>
      </c>
      <c r="EL65" s="24"/>
      <c r="EM65" s="24">
        <v>0.47</v>
      </c>
      <c r="EN65" s="24">
        <v>0.47</v>
      </c>
      <c r="EO65" s="24"/>
      <c r="EP65" s="24">
        <v>0.49</v>
      </c>
      <c r="EQ65" s="24"/>
      <c r="ER65" s="24">
        <v>0.42</v>
      </c>
      <c r="ES65" s="24">
        <v>0.46</v>
      </c>
      <c r="ET65" s="24">
        <v>0.52</v>
      </c>
      <c r="EU65" s="24">
        <v>0.54</v>
      </c>
      <c r="EV65" s="26">
        <v>0.51</v>
      </c>
      <c r="EW65" s="24">
        <v>0.43</v>
      </c>
      <c r="EX65" s="24"/>
      <c r="EY65" s="24">
        <v>0.53</v>
      </c>
      <c r="EZ65" s="24"/>
      <c r="FA65" s="24">
        <v>0.53</v>
      </c>
      <c r="FB65" s="24">
        <v>0.55</v>
      </c>
      <c r="FC65" s="24">
        <v>0.52</v>
      </c>
      <c r="FD65" s="3"/>
      <c r="FE65" s="24">
        <v>0.53</v>
      </c>
      <c r="FF65" s="25"/>
      <c r="FG65" s="25"/>
      <c r="FH65" s="25"/>
      <c r="FI65" s="24">
        <v>0.54</v>
      </c>
      <c r="FJ65" s="24">
        <v>0.32</v>
      </c>
      <c r="FK65" s="24">
        <v>0.59</v>
      </c>
      <c r="FL65" s="24">
        <v>0.67</v>
      </c>
      <c r="FM65" s="24">
        <v>0.54</v>
      </c>
      <c r="FN65" s="24">
        <v>0.49</v>
      </c>
      <c r="FO65" s="24"/>
      <c r="FQ65" s="24"/>
      <c r="FR65" s="24">
        <v>0.62</v>
      </c>
      <c r="FS65" s="24"/>
      <c r="FT65" s="24">
        <v>0.66</v>
      </c>
      <c r="FU65" s="52">
        <v>0.34</v>
      </c>
      <c r="FV65" s="49"/>
      <c r="FW65" s="23">
        <v>0.48</v>
      </c>
      <c r="FX65" s="24">
        <v>0.62</v>
      </c>
      <c r="FY65" s="24"/>
      <c r="FZ65" s="3"/>
      <c r="GA65" s="24">
        <v>0.55</v>
      </c>
      <c r="GB65" s="3"/>
      <c r="GC65" s="3"/>
      <c r="GD65" s="3"/>
      <c r="GE65" s="3"/>
      <c r="GF65" s="3"/>
      <c r="GG65" s="23">
        <v>0.42</v>
      </c>
      <c r="GH65" s="23">
        <v>0.38</v>
      </c>
      <c r="GI65" s="23">
        <v>0.59</v>
      </c>
      <c r="GJ65" s="26">
        <v>0.62</v>
      </c>
      <c r="GK65" s="24"/>
      <c r="GL65" s="24">
        <v>0.52</v>
      </c>
      <c r="GM65" s="24">
        <v>0.27</v>
      </c>
      <c r="GN65" s="24">
        <v>0.73</v>
      </c>
      <c r="GO65" s="24">
        <v>0.61</v>
      </c>
      <c r="GP65" s="3"/>
    </row>
    <row r="66" spans="1:198" ht="15">
      <c r="A66" s="4" t="s">
        <v>44</v>
      </c>
      <c r="B66" s="3"/>
      <c r="C66" s="3"/>
      <c r="D66" s="3"/>
      <c r="E66" s="3"/>
      <c r="F66" s="3">
        <f>135325/8</f>
        <v>16915.625</v>
      </c>
      <c r="G66" s="3"/>
      <c r="H66" s="3"/>
      <c r="I66" s="3"/>
      <c r="J66" s="3"/>
      <c r="K66" s="3"/>
      <c r="L66" s="3">
        <f>50000/13</f>
        <v>3846.153846153846</v>
      </c>
      <c r="M66" s="3"/>
      <c r="N66" s="3">
        <f>1000000/14</f>
        <v>71428.57142857143</v>
      </c>
      <c r="O66" s="3"/>
      <c r="P66" s="3"/>
      <c r="Q66" s="3"/>
      <c r="R66" s="3"/>
      <c r="S66" s="3"/>
      <c r="T66" s="3"/>
      <c r="U66" s="3"/>
      <c r="V66" s="3">
        <f>1100000/20</f>
        <v>55000</v>
      </c>
      <c r="W66" s="3"/>
      <c r="X66" s="3">
        <f>1000000/21</f>
        <v>47619.04761904762</v>
      </c>
      <c r="Y66" s="3">
        <f>589427/22</f>
        <v>26792.136363636364</v>
      </c>
      <c r="Z66" s="3"/>
      <c r="AA66" s="25">
        <f>259152/24</f>
        <v>10798</v>
      </c>
      <c r="AB66" s="25"/>
      <c r="AC66" s="3">
        <f>2699999/25</f>
        <v>107999.96</v>
      </c>
      <c r="AD66" s="3"/>
      <c r="AE66" s="3">
        <f>1118979/30</f>
        <v>37299.3</v>
      </c>
      <c r="AF66" s="3">
        <f>2000000/31</f>
        <v>64516.12903225807</v>
      </c>
      <c r="AG66" s="3"/>
      <c r="AH66" s="3">
        <f>1487857/32</f>
        <v>46495.53125</v>
      </c>
      <c r="AI66" s="3"/>
      <c r="AJ66" s="3"/>
      <c r="AK66" s="3"/>
      <c r="AL66" s="3">
        <f>752032/33</f>
        <v>22788.848484848484</v>
      </c>
      <c r="AM66" s="3">
        <f>1600000/34</f>
        <v>47058.82352941176</v>
      </c>
      <c r="AN66" s="3">
        <f>2335477/34</f>
        <v>68690.5</v>
      </c>
      <c r="AO66" s="3">
        <f>322227/35</f>
        <v>9206.485714285714</v>
      </c>
      <c r="AP66" s="3">
        <f>10000000/35</f>
        <v>285714.28571428574</v>
      </c>
      <c r="AQ66" s="3">
        <f>3301420/36</f>
        <v>91706.11111111111</v>
      </c>
      <c r="AR66" s="3"/>
      <c r="AS66" s="3">
        <f>6640500/37</f>
        <v>179472.97297297296</v>
      </c>
      <c r="AT66" s="3">
        <f>3394715/37</f>
        <v>91749.05405405405</v>
      </c>
      <c r="AU66" s="3">
        <f>2800000/37</f>
        <v>75675.67567567568</v>
      </c>
      <c r="AV66" s="3"/>
      <c r="AW66" s="3">
        <f>1880771/40</f>
        <v>47019.275</v>
      </c>
      <c r="AX66" s="3">
        <f>1695093/40</f>
        <v>42377.325</v>
      </c>
      <c r="AY66" s="3">
        <f>2400000/41</f>
        <v>58536.58536585366</v>
      </c>
      <c r="AZ66" s="3">
        <f>4200000/41</f>
        <v>102439.0243902439</v>
      </c>
      <c r="BA66" s="21">
        <f>4500000/42</f>
        <v>107142.85714285714</v>
      </c>
      <c r="BB66" s="21"/>
      <c r="BC66" s="21">
        <f>(707461+227000)/42</f>
        <v>22249.071428571428</v>
      </c>
      <c r="BD66" s="3">
        <f>5610913/45</f>
        <v>124686.95555555556</v>
      </c>
      <c r="BE66" s="3">
        <f>3591505/45</f>
        <v>79811.22222222222</v>
      </c>
      <c r="BF66" s="3">
        <f>5000000/46</f>
        <v>108695.65217391304</v>
      </c>
      <c r="BG66" s="3">
        <f>2000000/48</f>
        <v>41666.666666666664</v>
      </c>
      <c r="BH66" s="3">
        <f>2300000/48</f>
        <v>47916.666666666664</v>
      </c>
      <c r="BI66" s="3">
        <f>800472/49</f>
        <v>16336.163265306122</v>
      </c>
      <c r="BJ66" s="3">
        <f>3215906/49</f>
        <v>65630.73469387754</v>
      </c>
      <c r="BK66" s="3"/>
      <c r="BL66" s="3">
        <f>2200000/52</f>
        <v>42307.692307692305</v>
      </c>
      <c r="BM66" s="3">
        <f>2851539/52</f>
        <v>54837.28846153846</v>
      </c>
      <c r="BN66" s="3"/>
      <c r="BO66" s="3"/>
      <c r="BP66" s="3">
        <f>2000000/54</f>
        <v>37037.03703703704</v>
      </c>
      <c r="BQ66" s="3">
        <f>3600000/55</f>
        <v>65454.545454545456</v>
      </c>
      <c r="BR66" s="3">
        <f>819825/55</f>
        <v>14905.90909090909</v>
      </c>
      <c r="BS66" s="3">
        <f>3500000/59</f>
        <v>59322.03389830508</v>
      </c>
      <c r="BT66" s="3">
        <f>2000000/59</f>
        <v>33898.30508474576</v>
      </c>
      <c r="BU66" s="3">
        <f>2500000/60</f>
        <v>41666.666666666664</v>
      </c>
      <c r="BV66" s="3"/>
      <c r="BW66" s="3">
        <f>4000000/60</f>
        <v>66666.66666666667</v>
      </c>
      <c r="BX66" s="3" t="s">
        <v>50</v>
      </c>
      <c r="BY66" s="3">
        <f>3500000/62</f>
        <v>56451.6129032258</v>
      </c>
      <c r="BZ66" s="3">
        <f>860076/63</f>
        <v>13652</v>
      </c>
      <c r="CA66" s="3">
        <f>2500000/64</f>
        <v>39062.5</v>
      </c>
      <c r="CB66" s="3">
        <f>3000000/66</f>
        <v>45454.545454545456</v>
      </c>
      <c r="CC66" s="3"/>
      <c r="CD66" s="3">
        <f>728003/67</f>
        <v>10865.716417910447</v>
      </c>
      <c r="CE66" s="3"/>
      <c r="CF66" s="3"/>
      <c r="CG66" s="3"/>
      <c r="CH66" s="3">
        <f>2800000/70</f>
        <v>40000</v>
      </c>
      <c r="CI66" s="3">
        <f>5000000/70</f>
        <v>71428.57142857143</v>
      </c>
      <c r="CJ66" s="3">
        <f>2100000/72</f>
        <v>29166.666666666668</v>
      </c>
      <c r="CK66" s="3">
        <f>0/72</f>
        <v>0</v>
      </c>
      <c r="CL66" s="3">
        <f>1650000/74</f>
        <v>22297.297297297297</v>
      </c>
      <c r="CM66" s="3">
        <f>3513312/75</f>
        <v>46844.16</v>
      </c>
      <c r="CN66" s="3">
        <f>1499844/75</f>
        <v>19997.92</v>
      </c>
      <c r="CO66" s="3">
        <f>4300000/75</f>
        <v>57333.333333333336</v>
      </c>
      <c r="CP66" s="3">
        <f>8617338/76</f>
        <v>113386.02631578948</v>
      </c>
      <c r="CQ66" s="3">
        <f>2667000/77</f>
        <v>34636.36363636364</v>
      </c>
      <c r="CR66" s="3">
        <f>3000000/77</f>
        <v>38961.03896103896</v>
      </c>
      <c r="CS66" s="3">
        <f>4659594/78</f>
        <v>59738.38461538462</v>
      </c>
      <c r="CT66" s="3">
        <f>3666000/81</f>
        <v>45259.25925925926</v>
      </c>
      <c r="CU66" s="3">
        <f>1500000/81</f>
        <v>18518.51851851852</v>
      </c>
      <c r="CV66" s="3">
        <f>3399019/82</f>
        <v>41451.45121951219</v>
      </c>
      <c r="CW66" s="3">
        <f>3344284/83</f>
        <v>40292.57831325301</v>
      </c>
      <c r="CX66" s="49">
        <f>4990548/84</f>
        <v>59411.28571428572</v>
      </c>
      <c r="CY66" s="3"/>
      <c r="CZ66" s="25">
        <f>5164395/90</f>
        <v>57382.166666666664</v>
      </c>
      <c r="DA66" s="3">
        <f>8000000/91</f>
        <v>87912.08791208791</v>
      </c>
      <c r="DB66" s="3"/>
      <c r="DC66" s="3"/>
      <c r="DD66" s="3">
        <f>3060357/92</f>
        <v>33264.75</v>
      </c>
      <c r="DE66" s="3"/>
      <c r="DF66" s="3">
        <f>3100000/93</f>
        <v>33333.333333333336</v>
      </c>
      <c r="DG66" s="3">
        <f>5500000/93</f>
        <v>59139.784946236556</v>
      </c>
      <c r="DH66" s="25"/>
      <c r="DI66" s="3">
        <f>4000000/95</f>
        <v>42105.26315789474</v>
      </c>
      <c r="DJ66" s="1"/>
      <c r="DK66" s="3"/>
      <c r="DL66" s="3">
        <f>11000000/98</f>
        <v>112244.89795918367</v>
      </c>
      <c r="DM66" s="3">
        <f>5857734/98</f>
        <v>59772.795918367345</v>
      </c>
      <c r="DN66" s="3"/>
      <c r="DO66" s="3"/>
      <c r="DP66" s="3">
        <f>3200000/102</f>
        <v>31372.549019607843</v>
      </c>
      <c r="DQ66" s="3">
        <f>5400000/103</f>
        <v>52427.18446601942</v>
      </c>
      <c r="DR66" s="3">
        <f>3463216/103</f>
        <v>33623.45631067961</v>
      </c>
      <c r="DS66" s="3">
        <f>5700000/104</f>
        <v>54807.692307692305</v>
      </c>
      <c r="DT66" s="3"/>
      <c r="DU66" s="3"/>
      <c r="DV66" s="3"/>
      <c r="DW66" s="3">
        <f>4233621/114</f>
        <v>37137.02631578947</v>
      </c>
      <c r="DX66" s="3"/>
      <c r="DY66" s="3">
        <f>5000000/119</f>
        <v>42016.80672268908</v>
      </c>
      <c r="DZ66" s="3"/>
      <c r="EA66" s="3">
        <f>4389500/124</f>
        <v>35399.1935483871</v>
      </c>
      <c r="EB66" s="3">
        <f>3600000/127</f>
        <v>28346.456692913387</v>
      </c>
      <c r="EC66" s="3">
        <f>4098663/129</f>
        <v>31772.581395348836</v>
      </c>
      <c r="ED66" s="3"/>
      <c r="EE66" s="3">
        <f>6888458/130</f>
        <v>52988.13846153846</v>
      </c>
      <c r="EF66" s="3">
        <f>9950000/131</f>
        <v>75954.19847328245</v>
      </c>
      <c r="EG66" s="3">
        <f>2978588/132</f>
        <v>22565.060606060608</v>
      </c>
      <c r="EH66" s="3">
        <f>6993949/134</f>
        <v>52193.649253731346</v>
      </c>
      <c r="EI66" s="3">
        <f>5989360/135</f>
        <v>44365.62962962963</v>
      </c>
      <c r="EJ66" s="3">
        <f>4300000/137</f>
        <v>31386.861313868612</v>
      </c>
      <c r="EK66" s="3">
        <f>29450000/138</f>
        <v>213405.79710144928</v>
      </c>
      <c r="EL66" s="3">
        <f>248451/142</f>
        <v>1749.6549295774648</v>
      </c>
      <c r="EM66" s="3">
        <f>7356504/145</f>
        <v>50734.510344827584</v>
      </c>
      <c r="EN66" s="3">
        <f>1917804/146</f>
        <v>13135.643835616438</v>
      </c>
      <c r="EO66" s="3"/>
      <c r="EP66" s="3">
        <f>7000000/149</f>
        <v>46979.86577181208</v>
      </c>
      <c r="EQ66" s="3"/>
      <c r="ER66" s="3" t="s">
        <v>50</v>
      </c>
      <c r="ES66" s="3">
        <f>43351320/165</f>
        <v>262735.2727272727</v>
      </c>
      <c r="ET66" s="3">
        <f>9226768/166</f>
        <v>55582.93975903615</v>
      </c>
      <c r="EU66" s="3">
        <f>5250000/166</f>
        <v>31626.506024096387</v>
      </c>
      <c r="EV66" s="21">
        <f>3986362/172</f>
        <v>23176.523255813954</v>
      </c>
      <c r="EW66" s="3"/>
      <c r="EX66" s="3"/>
      <c r="EY66" s="3">
        <f>8145454/189</f>
        <v>43097.64021164021</v>
      </c>
      <c r="EZ66" s="3"/>
      <c r="FA66" s="3">
        <f>4726573/192</f>
        <v>24617.567708333332</v>
      </c>
      <c r="FB66" s="3">
        <f>4653876/196</f>
        <v>23744.26530612245</v>
      </c>
      <c r="FC66" s="3">
        <f>3192861/204</f>
        <v>15651.279411764706</v>
      </c>
      <c r="FD66" s="3"/>
      <c r="FE66" s="3">
        <f>8989582/205</f>
        <v>43851.619512195124</v>
      </c>
      <c r="FF66" s="3"/>
      <c r="FG66" s="3"/>
      <c r="FH66" s="3"/>
      <c r="FI66" s="3"/>
      <c r="FJ66" s="3">
        <f>4104248/239</f>
        <v>17172.585774058578</v>
      </c>
      <c r="FK66" s="3">
        <f>10550000/242</f>
        <v>43595.04132231405</v>
      </c>
      <c r="FL66" s="3">
        <f>44170883/242</f>
        <v>182524.30991735536</v>
      </c>
      <c r="FM66" s="3"/>
      <c r="FN66" s="3"/>
      <c r="FO66" s="3" t="s">
        <v>50</v>
      </c>
      <c r="FR66" s="4">
        <f>6939413/262</f>
        <v>26486.309160305344</v>
      </c>
      <c r="FS66" s="3"/>
      <c r="FT66" s="3">
        <f>13000000/287</f>
        <v>45296.16724738676</v>
      </c>
      <c r="FU66" s="3">
        <f>4324517/287</f>
        <v>15068.003484320558</v>
      </c>
      <c r="FV66" s="49"/>
      <c r="FW66" s="3"/>
      <c r="FX66" s="3">
        <f>32000000/309</f>
        <v>103559.87055016181</v>
      </c>
      <c r="FY66" s="3"/>
      <c r="FZ66" s="3"/>
      <c r="GA66" s="3">
        <f>36851800/348</f>
        <v>105895.97701149425</v>
      </c>
      <c r="GB66" s="3"/>
      <c r="GC66" s="3"/>
      <c r="GD66" s="3"/>
      <c r="GE66" s="3"/>
      <c r="GF66" s="3"/>
      <c r="GG66" s="3">
        <f>27000000/415</f>
        <v>65060.24096385542</v>
      </c>
      <c r="GH66" s="3">
        <f>16000000/420</f>
        <v>38095.23809523809</v>
      </c>
      <c r="GI66" s="3">
        <f>27500000/492</f>
        <v>55894.30894308943</v>
      </c>
      <c r="GJ66" s="21">
        <f>25000000/493</f>
        <v>50709.93914807302</v>
      </c>
      <c r="GK66" s="3" t="s">
        <v>50</v>
      </c>
      <c r="GL66" s="3"/>
      <c r="GM66" s="3">
        <f>17253053/552</f>
        <v>31255.530797101448</v>
      </c>
      <c r="GN66" s="3">
        <f>49000000/587</f>
        <v>83475.29812606474</v>
      </c>
      <c r="GO66" s="3">
        <f>45000000/628</f>
        <v>71656.05095541402</v>
      </c>
      <c r="GP66" s="3"/>
    </row>
    <row r="67" spans="1:197" s="28" customFormat="1" ht="15">
      <c r="A67" s="28" t="s">
        <v>45</v>
      </c>
      <c r="B67" s="27"/>
      <c r="C67" s="27"/>
      <c r="D67" s="27"/>
      <c r="E67" s="27"/>
      <c r="F67" s="27" t="s">
        <v>57</v>
      </c>
      <c r="G67" s="10"/>
      <c r="H67" s="10"/>
      <c r="I67" s="10"/>
      <c r="J67" s="10"/>
      <c r="K67" s="10"/>
      <c r="L67" s="10" t="s">
        <v>298</v>
      </c>
      <c r="M67" s="10"/>
      <c r="N67" s="10" t="s">
        <v>298</v>
      </c>
      <c r="O67" s="10"/>
      <c r="P67" s="10"/>
      <c r="Q67" s="10"/>
      <c r="R67" s="10"/>
      <c r="S67" s="10"/>
      <c r="V67" s="10" t="s">
        <v>294</v>
      </c>
      <c r="X67" s="10" t="s">
        <v>281</v>
      </c>
      <c r="Y67" s="10" t="s">
        <v>71</v>
      </c>
      <c r="Z67" s="10"/>
      <c r="AA67" s="10" t="s">
        <v>71</v>
      </c>
      <c r="AB67" s="10"/>
      <c r="AC67" s="10" t="s">
        <v>294</v>
      </c>
      <c r="AE67" s="10" t="s">
        <v>265</v>
      </c>
      <c r="AF67" s="10" t="s">
        <v>332</v>
      </c>
      <c r="AG67" s="10"/>
      <c r="AH67" s="10" t="s">
        <v>247</v>
      </c>
      <c r="AI67" s="27"/>
      <c r="AJ67" s="27"/>
      <c r="AK67" s="27"/>
      <c r="AL67" s="27" t="s">
        <v>322</v>
      </c>
      <c r="AM67" s="27" t="s">
        <v>71</v>
      </c>
      <c r="AN67" s="27" t="s">
        <v>71</v>
      </c>
      <c r="AO67" s="27" t="s">
        <v>263</v>
      </c>
      <c r="AP67" s="27" t="s">
        <v>298</v>
      </c>
      <c r="AQ67" s="10" t="s">
        <v>71</v>
      </c>
      <c r="AR67" s="10"/>
      <c r="AS67" s="10" t="s">
        <v>71</v>
      </c>
      <c r="AT67" s="27" t="s">
        <v>310</v>
      </c>
      <c r="AU67" s="27" t="s">
        <v>298</v>
      </c>
      <c r="AV67" s="27"/>
      <c r="AW67" s="10" t="s">
        <v>263</v>
      </c>
      <c r="AX67" s="10" t="s">
        <v>71</v>
      </c>
      <c r="AY67" s="10" t="s">
        <v>254</v>
      </c>
      <c r="AZ67" s="10" t="s">
        <v>298</v>
      </c>
      <c r="BA67" s="29" t="s">
        <v>329</v>
      </c>
      <c r="BB67" s="29"/>
      <c r="BC67" s="29" t="s">
        <v>71</v>
      </c>
      <c r="BD67" s="10" t="s">
        <v>289</v>
      </c>
      <c r="BE67" s="10" t="s">
        <v>333</v>
      </c>
      <c r="BF67" s="10" t="s">
        <v>298</v>
      </c>
      <c r="BG67" s="27" t="s">
        <v>247</v>
      </c>
      <c r="BH67" s="27" t="s">
        <v>292</v>
      </c>
      <c r="BI67" s="10" t="s">
        <v>247</v>
      </c>
      <c r="BJ67" s="27" t="s">
        <v>298</v>
      </c>
      <c r="BL67" s="10" t="s">
        <v>247</v>
      </c>
      <c r="BM67" s="27" t="s">
        <v>71</v>
      </c>
      <c r="BN67" s="27"/>
      <c r="BO67" s="27"/>
      <c r="BP67" s="27" t="s">
        <v>71</v>
      </c>
      <c r="BQ67" s="27" t="s">
        <v>247</v>
      </c>
      <c r="BR67" s="27" t="s">
        <v>310</v>
      </c>
      <c r="BS67" s="27" t="s">
        <v>283</v>
      </c>
      <c r="BT67" s="27" t="s">
        <v>289</v>
      </c>
      <c r="BU67" s="10" t="s">
        <v>247</v>
      </c>
      <c r="BW67" s="27" t="s">
        <v>310</v>
      </c>
      <c r="BX67" s="10" t="s">
        <v>50</v>
      </c>
      <c r="BY67" s="27" t="s">
        <v>71</v>
      </c>
      <c r="BZ67" s="27" t="s">
        <v>327</v>
      </c>
      <c r="CA67" s="27" t="s">
        <v>298</v>
      </c>
      <c r="CB67" s="27" t="s">
        <v>71</v>
      </c>
      <c r="CD67" s="27" t="s">
        <v>71</v>
      </c>
      <c r="CH67" s="10" t="s">
        <v>294</v>
      </c>
      <c r="CI67" s="10" t="s">
        <v>247</v>
      </c>
      <c r="CJ67" s="10" t="s">
        <v>247</v>
      </c>
      <c r="CK67" s="10"/>
      <c r="CL67" s="10" t="s">
        <v>298</v>
      </c>
      <c r="CM67" s="10" t="s">
        <v>323</v>
      </c>
      <c r="CN67" s="10" t="s">
        <v>298</v>
      </c>
      <c r="CO67" s="10" t="s">
        <v>298</v>
      </c>
      <c r="CP67" s="27" t="s">
        <v>283</v>
      </c>
      <c r="CQ67" s="27" t="s">
        <v>247</v>
      </c>
      <c r="CR67" s="27" t="s">
        <v>294</v>
      </c>
      <c r="CS67" s="10" t="s">
        <v>71</v>
      </c>
      <c r="CT67" s="27" t="s">
        <v>323</v>
      </c>
      <c r="CU67" s="27" t="s">
        <v>71</v>
      </c>
      <c r="CV67" s="10" t="s">
        <v>71</v>
      </c>
      <c r="CW67" s="10" t="s">
        <v>71</v>
      </c>
      <c r="CX67" s="53" t="s">
        <v>71</v>
      </c>
      <c r="CY67" s="10"/>
      <c r="CZ67" s="10" t="s">
        <v>71</v>
      </c>
      <c r="DA67" s="10" t="s">
        <v>308</v>
      </c>
      <c r="DB67" s="10"/>
      <c r="DC67" s="10"/>
      <c r="DD67" s="10" t="s">
        <v>283</v>
      </c>
      <c r="DE67" s="10"/>
      <c r="DF67" s="10" t="s">
        <v>294</v>
      </c>
      <c r="DG67" s="10" t="s">
        <v>298</v>
      </c>
      <c r="DH67" s="10"/>
      <c r="DI67" s="10" t="s">
        <v>308</v>
      </c>
      <c r="DJ67" s="54"/>
      <c r="DK67" s="10"/>
      <c r="DL67" s="10" t="s">
        <v>66</v>
      </c>
      <c r="DM67" s="10" t="s">
        <v>299</v>
      </c>
      <c r="DN67" s="10"/>
      <c r="DO67" s="10"/>
      <c r="DP67" s="10" t="s">
        <v>71</v>
      </c>
      <c r="DQ67" s="10" t="s">
        <v>294</v>
      </c>
      <c r="DR67" s="10" t="s">
        <v>247</v>
      </c>
      <c r="DS67" s="10" t="s">
        <v>57</v>
      </c>
      <c r="DT67" s="10"/>
      <c r="DU67" s="10"/>
      <c r="DV67" s="10"/>
      <c r="DW67" s="10" t="s">
        <v>71</v>
      </c>
      <c r="DX67" s="10"/>
      <c r="DY67" s="10" t="s">
        <v>328</v>
      </c>
      <c r="DZ67" s="27"/>
      <c r="EA67" s="27" t="s">
        <v>247</v>
      </c>
      <c r="EB67" s="27" t="s">
        <v>71</v>
      </c>
      <c r="EC67" s="27" t="s">
        <v>71</v>
      </c>
      <c r="ED67" s="27"/>
      <c r="EE67" s="27" t="s">
        <v>71</v>
      </c>
      <c r="EF67" s="27" t="s">
        <v>71</v>
      </c>
      <c r="EG67" s="10" t="s">
        <v>71</v>
      </c>
      <c r="EH67" s="27" t="s">
        <v>323</v>
      </c>
      <c r="EI67" s="27" t="s">
        <v>71</v>
      </c>
      <c r="EJ67" s="27" t="s">
        <v>71</v>
      </c>
      <c r="EK67" s="27" t="s">
        <v>283</v>
      </c>
      <c r="EL67" s="27" t="s">
        <v>321</v>
      </c>
      <c r="EM67" s="10" t="s">
        <v>292</v>
      </c>
      <c r="EN67" s="10" t="s">
        <v>71</v>
      </c>
      <c r="EO67" s="10"/>
      <c r="EP67" s="10" t="s">
        <v>323</v>
      </c>
      <c r="EQ67" s="27"/>
      <c r="ER67" s="27" t="s">
        <v>50</v>
      </c>
      <c r="ES67" s="27" t="s">
        <v>247</v>
      </c>
      <c r="ET67" s="10" t="s">
        <v>303</v>
      </c>
      <c r="EU67" s="10" t="s">
        <v>326</v>
      </c>
      <c r="EV67" s="29" t="s">
        <v>300</v>
      </c>
      <c r="EW67" s="27"/>
      <c r="EX67" s="27"/>
      <c r="EY67" s="27" t="s">
        <v>294</v>
      </c>
      <c r="EZ67" s="27"/>
      <c r="FA67" s="10" t="s">
        <v>71</v>
      </c>
      <c r="FB67" s="10" t="s">
        <v>57</v>
      </c>
      <c r="FC67" s="10" t="s">
        <v>298</v>
      </c>
      <c r="FE67" s="10" t="s">
        <v>316</v>
      </c>
      <c r="FF67" s="10"/>
      <c r="FG67" s="10"/>
      <c r="FH67" s="10"/>
      <c r="FI67" s="10"/>
      <c r="FJ67" s="10" t="s">
        <v>323</v>
      </c>
      <c r="FK67" s="10" t="s">
        <v>298</v>
      </c>
      <c r="FL67" s="10" t="s">
        <v>303</v>
      </c>
      <c r="FM67" s="10"/>
      <c r="FN67" s="10"/>
      <c r="FO67" s="10" t="s">
        <v>50</v>
      </c>
      <c r="FQ67" s="10"/>
      <c r="FR67" s="10" t="s">
        <v>315</v>
      </c>
      <c r="FS67" s="27"/>
      <c r="FT67" s="27" t="s">
        <v>307</v>
      </c>
      <c r="FU67" s="53" t="s">
        <v>71</v>
      </c>
      <c r="FV67" s="53"/>
      <c r="FW67" s="10"/>
      <c r="FX67" s="10" t="s">
        <v>306</v>
      </c>
      <c r="FY67" s="10"/>
      <c r="GA67" s="10" t="s">
        <v>247</v>
      </c>
      <c r="GC67" s="10"/>
      <c r="GD67" s="10"/>
      <c r="GG67" s="27" t="s">
        <v>265</v>
      </c>
      <c r="GH67" s="27" t="s">
        <v>306</v>
      </c>
      <c r="GI67" s="27" t="s">
        <v>281</v>
      </c>
      <c r="GJ67" s="29" t="s">
        <v>298</v>
      </c>
      <c r="GK67" s="10" t="s">
        <v>50</v>
      </c>
      <c r="GL67" s="10"/>
      <c r="GM67" s="10" t="s">
        <v>282</v>
      </c>
      <c r="GN67" s="10" t="s">
        <v>282</v>
      </c>
      <c r="GO67" s="10" t="s">
        <v>283</v>
      </c>
    </row>
    <row r="68" spans="1:198" s="2" customFormat="1" ht="15">
      <c r="A68" s="2" t="s">
        <v>46</v>
      </c>
      <c r="B68" s="1">
        <v>-6323</v>
      </c>
      <c r="C68" s="1">
        <v>168981</v>
      </c>
      <c r="D68" s="1">
        <v>87993</v>
      </c>
      <c r="E68" s="1">
        <v>207440</v>
      </c>
      <c r="F68" s="1">
        <v>77512</v>
      </c>
      <c r="G68" s="1">
        <v>21163</v>
      </c>
      <c r="H68" s="1">
        <v>40191</v>
      </c>
      <c r="I68" s="1">
        <v>172398</v>
      </c>
      <c r="J68" s="1">
        <v>377259</v>
      </c>
      <c r="K68" s="1">
        <v>-45969</v>
      </c>
      <c r="L68" s="1">
        <v>732900</v>
      </c>
      <c r="M68" s="1">
        <v>96511</v>
      </c>
      <c r="N68" s="1">
        <v>566363</v>
      </c>
      <c r="O68" s="1">
        <v>218412</v>
      </c>
      <c r="P68" s="1">
        <v>31838</v>
      </c>
      <c r="Q68" s="1">
        <v>783873</v>
      </c>
      <c r="R68" s="1">
        <v>15741</v>
      </c>
      <c r="S68" s="1">
        <v>350915</v>
      </c>
      <c r="T68" s="1">
        <v>315185</v>
      </c>
      <c r="U68" s="1">
        <v>31388</v>
      </c>
      <c r="V68" s="1">
        <v>650036</v>
      </c>
      <c r="W68" s="1">
        <v>828843</v>
      </c>
      <c r="X68" s="1">
        <v>157759</v>
      </c>
      <c r="Y68" s="1">
        <v>115782</v>
      </c>
      <c r="Z68" s="1">
        <v>176688</v>
      </c>
      <c r="AA68" s="1">
        <v>613878</v>
      </c>
      <c r="AB68" s="1">
        <v>113066</v>
      </c>
      <c r="AC68" s="1">
        <v>524047</v>
      </c>
      <c r="AD68" s="42">
        <v>629627</v>
      </c>
      <c r="AE68" s="1">
        <v>304638</v>
      </c>
      <c r="AF68" s="1">
        <v>687945</v>
      </c>
      <c r="AG68" s="1">
        <v>1862996</v>
      </c>
      <c r="AH68" s="1">
        <v>593457</v>
      </c>
      <c r="AI68" s="1">
        <v>155204</v>
      </c>
      <c r="AJ68" s="1">
        <v>531098</v>
      </c>
      <c r="AK68" s="1">
        <v>1827</v>
      </c>
      <c r="AL68" s="1">
        <v>404001</v>
      </c>
      <c r="AM68" s="1">
        <v>846280</v>
      </c>
      <c r="AN68" s="1">
        <v>578150</v>
      </c>
      <c r="AO68" s="1">
        <v>276161</v>
      </c>
      <c r="AP68" s="1">
        <v>6645547</v>
      </c>
      <c r="AQ68" s="1">
        <v>1376798</v>
      </c>
      <c r="AR68" s="1">
        <v>660993</v>
      </c>
      <c r="AS68" s="1">
        <v>1061223</v>
      </c>
      <c r="AT68" s="1">
        <v>482482</v>
      </c>
      <c r="AU68" s="1">
        <v>389403</v>
      </c>
      <c r="AV68" s="1">
        <v>248660</v>
      </c>
      <c r="AW68" s="1">
        <v>1905265</v>
      </c>
      <c r="AX68" s="1">
        <v>139217</v>
      </c>
      <c r="AY68" s="1">
        <v>413913</v>
      </c>
      <c r="AZ68" s="1">
        <v>1297329</v>
      </c>
      <c r="BA68" s="18">
        <v>2346392</v>
      </c>
      <c r="BB68" s="18">
        <v>356239</v>
      </c>
      <c r="BC68" s="18">
        <f>446690-227000-707461</f>
        <v>-487771</v>
      </c>
      <c r="BD68" s="1">
        <v>278863</v>
      </c>
      <c r="BE68" s="1">
        <v>953877</v>
      </c>
      <c r="BF68" s="1">
        <v>1898284</v>
      </c>
      <c r="BG68" s="1">
        <v>191623</v>
      </c>
      <c r="BH68" s="1">
        <v>1176139</v>
      </c>
      <c r="BI68" s="1">
        <v>617065</v>
      </c>
      <c r="BJ68" s="1">
        <v>2342214</v>
      </c>
      <c r="BK68" s="1">
        <v>674801</v>
      </c>
      <c r="BL68" s="1">
        <v>3126747</v>
      </c>
      <c r="BM68" s="1">
        <v>723722</v>
      </c>
      <c r="BN68" s="1">
        <v>248483</v>
      </c>
      <c r="BO68" s="1">
        <v>1022224</v>
      </c>
      <c r="BP68" s="3">
        <f>1299201-47751</f>
        <v>1251450</v>
      </c>
      <c r="BQ68" s="1">
        <v>752264</v>
      </c>
      <c r="BR68" s="1">
        <v>516659</v>
      </c>
      <c r="BS68" s="1">
        <v>2601630</v>
      </c>
      <c r="BT68" s="1">
        <v>892478</v>
      </c>
      <c r="BU68" s="1">
        <v>971903</v>
      </c>
      <c r="BV68" s="1">
        <v>142555</v>
      </c>
      <c r="BW68" s="1">
        <v>1376869</v>
      </c>
      <c r="BX68" s="1">
        <v>592364</v>
      </c>
      <c r="BY68" s="1">
        <v>2121069</v>
      </c>
      <c r="BZ68" s="1">
        <v>872142</v>
      </c>
      <c r="CA68" s="1">
        <v>943390</v>
      </c>
      <c r="CB68" s="1">
        <v>872256</v>
      </c>
      <c r="CC68" s="1">
        <v>-76124</v>
      </c>
      <c r="CD68" s="1">
        <v>202929</v>
      </c>
      <c r="CE68" s="1">
        <v>153493</v>
      </c>
      <c r="CF68" s="1">
        <v>930674</v>
      </c>
      <c r="CG68" s="1">
        <v>1164353</v>
      </c>
      <c r="CH68" s="1">
        <v>106226</v>
      </c>
      <c r="CI68" s="1">
        <v>945550</v>
      </c>
      <c r="CJ68" s="1">
        <v>962856</v>
      </c>
      <c r="CK68" s="1">
        <v>1087632</v>
      </c>
      <c r="CL68" s="1">
        <v>564669</v>
      </c>
      <c r="CM68" s="1">
        <v>798927</v>
      </c>
      <c r="CN68" s="1">
        <v>970254</v>
      </c>
      <c r="CO68" s="1">
        <v>3578634</v>
      </c>
      <c r="CP68" s="1">
        <v>3307717</v>
      </c>
      <c r="CQ68" s="1">
        <v>309884</v>
      </c>
      <c r="CR68" s="1">
        <v>3447440</v>
      </c>
      <c r="CS68" s="1">
        <v>357169</v>
      </c>
      <c r="CT68" s="3">
        <v>897336</v>
      </c>
      <c r="CU68" s="3">
        <v>8614733</v>
      </c>
      <c r="CV68" s="1">
        <v>837963</v>
      </c>
      <c r="CW68" s="1">
        <v>2126346</v>
      </c>
      <c r="CX68" s="41">
        <v>651871</v>
      </c>
      <c r="CY68" s="1">
        <v>302661</v>
      </c>
      <c r="CZ68" s="1">
        <v>2921502</v>
      </c>
      <c r="DA68" s="1">
        <v>4645135</v>
      </c>
      <c r="DB68" s="1">
        <v>1049884</v>
      </c>
      <c r="DC68" s="1">
        <v>483719</v>
      </c>
      <c r="DD68" s="1">
        <v>2803251</v>
      </c>
      <c r="DE68" s="1">
        <v>1438026</v>
      </c>
      <c r="DF68" s="1">
        <v>369585</v>
      </c>
      <c r="DG68" s="1">
        <v>454986</v>
      </c>
      <c r="DH68" s="1">
        <v>731697</v>
      </c>
      <c r="DI68" s="1">
        <v>1252705</v>
      </c>
      <c r="DJ68" s="1">
        <v>1429661</v>
      </c>
      <c r="DK68" s="1">
        <v>1445879</v>
      </c>
      <c r="DL68" s="1">
        <v>4113890</v>
      </c>
      <c r="DM68" s="1">
        <v>2357881</v>
      </c>
      <c r="DN68" s="1">
        <v>596931</v>
      </c>
      <c r="DO68" s="1">
        <v>99838</v>
      </c>
      <c r="DP68" s="1">
        <v>1793379</v>
      </c>
      <c r="DQ68" s="1">
        <v>750824</v>
      </c>
      <c r="DR68" s="1">
        <v>1190146</v>
      </c>
      <c r="DS68" s="1">
        <v>1792138</v>
      </c>
      <c r="DT68" s="1">
        <v>1564188</v>
      </c>
      <c r="DU68" s="1">
        <v>350654</v>
      </c>
      <c r="DV68" s="1">
        <v>380736</v>
      </c>
      <c r="DW68" s="1">
        <v>285038</v>
      </c>
      <c r="DX68" s="1">
        <v>6065295</v>
      </c>
      <c r="DY68" s="1">
        <v>734513</v>
      </c>
      <c r="DZ68" s="1">
        <f>1903809+329032+34114-208347-61424</f>
        <v>1997184</v>
      </c>
      <c r="EA68" s="1">
        <v>1043544</v>
      </c>
      <c r="EB68" s="1">
        <v>124963</v>
      </c>
      <c r="EC68" s="1">
        <v>669169</v>
      </c>
      <c r="ED68" s="1">
        <v>850764</v>
      </c>
      <c r="EE68" s="1">
        <v>122452</v>
      </c>
      <c r="EF68" s="1">
        <v>3656425</v>
      </c>
      <c r="EG68" s="1">
        <v>1741103</v>
      </c>
      <c r="EH68" s="1">
        <v>1418775</v>
      </c>
      <c r="EI68" s="1">
        <v>1574009</v>
      </c>
      <c r="EJ68" s="2">
        <v>819812</v>
      </c>
      <c r="EK68" s="1">
        <v>7817097</v>
      </c>
      <c r="EL68" s="1">
        <v>807656</v>
      </c>
      <c r="EM68" s="1">
        <f>4861869+7356504-96138-10777396+135509</f>
        <v>1480348</v>
      </c>
      <c r="EN68" s="1">
        <v>720537</v>
      </c>
      <c r="EO68" s="1">
        <v>830740</v>
      </c>
      <c r="EP68" s="1">
        <v>3007050</v>
      </c>
      <c r="EQ68" s="1">
        <v>392200</v>
      </c>
      <c r="ER68" s="1">
        <v>4058226</v>
      </c>
      <c r="ES68" s="1">
        <v>1637196</v>
      </c>
      <c r="ET68" s="1">
        <v>2415878</v>
      </c>
      <c r="EU68" s="1">
        <v>1592092</v>
      </c>
      <c r="EV68" s="18">
        <v>730932</v>
      </c>
      <c r="EW68" s="1">
        <v>1397402</v>
      </c>
      <c r="EX68" s="1">
        <v>1407184</v>
      </c>
      <c r="EY68" s="1">
        <v>1861398</v>
      </c>
      <c r="EZ68" s="3">
        <v>1356938</v>
      </c>
      <c r="FA68" s="1">
        <v>205899</v>
      </c>
      <c r="FB68" s="1">
        <f>6170777+4653876-9326445-31326</f>
        <v>1466882</v>
      </c>
      <c r="FC68" s="1">
        <v>1394485</v>
      </c>
      <c r="FD68" s="1">
        <v>1473247</v>
      </c>
      <c r="FE68" s="1">
        <v>2386662</v>
      </c>
      <c r="FF68" s="1">
        <v>2805546</v>
      </c>
      <c r="FG68" s="1">
        <v>1509345</v>
      </c>
      <c r="FH68" s="1">
        <v>4229610</v>
      </c>
      <c r="FI68" s="1">
        <f>3622361-881393</f>
        <v>2740968</v>
      </c>
      <c r="FJ68" s="1">
        <v>495595</v>
      </c>
      <c r="FK68" s="1">
        <v>1337783</v>
      </c>
      <c r="FL68" s="1">
        <v>1978602</v>
      </c>
      <c r="FM68" s="1">
        <v>1803297</v>
      </c>
      <c r="FN68" s="1">
        <v>2514007</v>
      </c>
      <c r="FO68" s="1">
        <v>3438806</v>
      </c>
      <c r="FP68" s="1">
        <v>2335320</v>
      </c>
      <c r="FQ68" s="1">
        <v>2672807</v>
      </c>
      <c r="FR68" s="1">
        <v>2865115</v>
      </c>
      <c r="FS68" s="1">
        <v>4754537</v>
      </c>
      <c r="FT68" s="1">
        <v>940896</v>
      </c>
      <c r="FU68" s="41">
        <v>1545607</v>
      </c>
      <c r="FV68" s="41">
        <v>1020877</v>
      </c>
      <c r="FW68" s="1">
        <v>1527284</v>
      </c>
      <c r="FX68" s="1">
        <v>10195959</v>
      </c>
      <c r="FY68" s="1">
        <v>505126</v>
      </c>
      <c r="FZ68" s="1">
        <v>2479686</v>
      </c>
      <c r="GA68" s="1">
        <v>8031881</v>
      </c>
      <c r="GB68" s="1">
        <v>3290595</v>
      </c>
      <c r="GC68" s="3">
        <v>778705</v>
      </c>
      <c r="GD68" s="1">
        <v>4522414</v>
      </c>
      <c r="GE68" s="1">
        <v>1516551</v>
      </c>
      <c r="GF68" s="1">
        <v>3236910</v>
      </c>
      <c r="GG68" s="1">
        <v>5917489</v>
      </c>
      <c r="GH68" s="1">
        <v>1414092</v>
      </c>
      <c r="GI68" s="1">
        <v>3085000</v>
      </c>
      <c r="GJ68" s="18">
        <v>5464231</v>
      </c>
      <c r="GK68" s="1">
        <v>151949</v>
      </c>
      <c r="GL68" s="1">
        <v>3979223</v>
      </c>
      <c r="GM68" s="3">
        <v>4379956</v>
      </c>
      <c r="GN68" s="2">
        <v>16920918</v>
      </c>
      <c r="GO68" s="1">
        <v>3626578</v>
      </c>
      <c r="GP68" s="1">
        <v>2582217</v>
      </c>
    </row>
    <row r="69" spans="1:198" s="2" customFormat="1" ht="15">
      <c r="A69" s="2" t="s">
        <v>47</v>
      </c>
      <c r="B69" s="1">
        <f>B68/4</f>
        <v>-1580.75</v>
      </c>
      <c r="C69" s="1">
        <f>C68/5</f>
        <v>33796.2</v>
      </c>
      <c r="D69" s="1">
        <f>D68/7</f>
        <v>12570.42857142857</v>
      </c>
      <c r="E69" s="1">
        <f>E68/8</f>
        <v>25930</v>
      </c>
      <c r="F69" s="1">
        <f>F68/8</f>
        <v>9689</v>
      </c>
      <c r="G69" s="1">
        <f>G68/9</f>
        <v>2351.4444444444443</v>
      </c>
      <c r="H69" s="1">
        <f>H68/10</f>
        <v>4019.1</v>
      </c>
      <c r="I69" s="1">
        <f>I68/10</f>
        <v>17239.8</v>
      </c>
      <c r="J69" s="1">
        <f>J68/10</f>
        <v>37725.9</v>
      </c>
      <c r="K69" s="1">
        <f>K68/13</f>
        <v>-3536.076923076923</v>
      </c>
      <c r="L69" s="1">
        <f>L68/13</f>
        <v>56376.92307692308</v>
      </c>
      <c r="M69" s="1">
        <f>M68/14</f>
        <v>6893.642857142857</v>
      </c>
      <c r="N69" s="1">
        <f>N68/14</f>
        <v>40454.5</v>
      </c>
      <c r="O69" s="1">
        <f>O68/14</f>
        <v>15600.857142857143</v>
      </c>
      <c r="P69" s="1">
        <f>P68/14</f>
        <v>2274.1428571428573</v>
      </c>
      <c r="Q69" s="1">
        <f>+Q68/15</f>
        <v>52258.2</v>
      </c>
      <c r="R69" s="1">
        <f>+R68/18</f>
        <v>874.5</v>
      </c>
      <c r="S69" s="1">
        <f>+S68/18</f>
        <v>19495.277777777777</v>
      </c>
      <c r="T69" s="1">
        <f>T68/19</f>
        <v>16588.684210526317</v>
      </c>
      <c r="U69" s="1">
        <f>U68/20</f>
        <v>1569.4</v>
      </c>
      <c r="V69" s="1">
        <f>V68/20</f>
        <v>32501.8</v>
      </c>
      <c r="W69" s="1">
        <f>W68/21</f>
        <v>39468.71428571428</v>
      </c>
      <c r="X69" s="1">
        <f>X68/21</f>
        <v>7512.333333333333</v>
      </c>
      <c r="Y69" s="1">
        <f>Y68/22</f>
        <v>5262.818181818182</v>
      </c>
      <c r="Z69" s="1">
        <f>Z68/23</f>
        <v>7682.086956521739</v>
      </c>
      <c r="AA69" s="1">
        <f>AA68/24</f>
        <v>25578.25</v>
      </c>
      <c r="AB69" s="1">
        <f>+AB68/24</f>
        <v>4711.083333333333</v>
      </c>
      <c r="AC69" s="1">
        <f>AC68/25</f>
        <v>20961.88</v>
      </c>
      <c r="AD69" s="1">
        <f>AD68/28</f>
        <v>22486.678571428572</v>
      </c>
      <c r="AE69" s="1">
        <f>AE68/30</f>
        <v>10154.6</v>
      </c>
      <c r="AF69" s="1">
        <f>AF68/31</f>
        <v>22191.774193548386</v>
      </c>
      <c r="AG69" s="1">
        <f>AG68/31</f>
        <v>60096.645161290326</v>
      </c>
      <c r="AH69" s="1">
        <f>AH68/32</f>
        <v>18545.53125</v>
      </c>
      <c r="AI69" s="1">
        <f>+AI68/32</f>
        <v>4850.125</v>
      </c>
      <c r="AJ69" s="1">
        <f>AJ68/32</f>
        <v>16596.8125</v>
      </c>
      <c r="AK69" s="1">
        <f>AK68/33</f>
        <v>55.36363636363637</v>
      </c>
      <c r="AL69" s="1">
        <f>AL68/33</f>
        <v>12242.454545454546</v>
      </c>
      <c r="AM69" s="1">
        <f>AM68/34</f>
        <v>24890.58823529412</v>
      </c>
      <c r="AN69" s="1">
        <f>+AN68/34</f>
        <v>17004.41176470588</v>
      </c>
      <c r="AO69" s="1">
        <f>AO68/35</f>
        <v>7890.314285714286</v>
      </c>
      <c r="AP69" s="1">
        <f>AP68/35</f>
        <v>189872.77142857143</v>
      </c>
      <c r="AQ69" s="1">
        <f>AQ68/36</f>
        <v>38244.38888888889</v>
      </c>
      <c r="AR69" s="1">
        <f>AR68/36</f>
        <v>18360.916666666668</v>
      </c>
      <c r="AS69" s="1">
        <f>AS68/37</f>
        <v>28681.702702702703</v>
      </c>
      <c r="AT69" s="1">
        <f>AT68/37</f>
        <v>13040.054054054053</v>
      </c>
      <c r="AU69" s="1">
        <f>AU68/37</f>
        <v>10524.405405405405</v>
      </c>
      <c r="AV69" s="1">
        <f>AV68/38</f>
        <v>6543.684210526316</v>
      </c>
      <c r="AW69" s="1">
        <f>AW68/40</f>
        <v>47631.625</v>
      </c>
      <c r="AX69" s="1">
        <f>AX68/40</f>
        <v>3480.425</v>
      </c>
      <c r="AY69" s="1">
        <f>AY68/41</f>
        <v>10095.439024390244</v>
      </c>
      <c r="AZ69" s="1">
        <f>AZ68/41</f>
        <v>31642.170731707316</v>
      </c>
      <c r="BA69" s="18">
        <f>BA68/42</f>
        <v>55866.47619047619</v>
      </c>
      <c r="BB69" s="18">
        <f>BB68/42</f>
        <v>8481.880952380952</v>
      </c>
      <c r="BC69" s="18">
        <v>214423</v>
      </c>
      <c r="BD69" s="1">
        <f>BD68/45</f>
        <v>6196.955555555555</v>
      </c>
      <c r="BE69" s="1">
        <f>BE68/45</f>
        <v>21197.266666666666</v>
      </c>
      <c r="BF69" s="1">
        <f>BF68/46</f>
        <v>41267.04347826087</v>
      </c>
      <c r="BG69" s="1">
        <f>BG68/48</f>
        <v>3992.1458333333335</v>
      </c>
      <c r="BH69" s="1">
        <f>BH68/48</f>
        <v>24502.895833333332</v>
      </c>
      <c r="BI69" s="1">
        <f>BI68/49</f>
        <v>12593.163265306122</v>
      </c>
      <c r="BJ69" s="1">
        <f>BJ68/49</f>
        <v>47800.28571428572</v>
      </c>
      <c r="BK69" s="1">
        <f>BK68/52</f>
        <v>12976.942307692309</v>
      </c>
      <c r="BL69" s="1">
        <f>BL68/52</f>
        <v>60129.75</v>
      </c>
      <c r="BM69" s="1">
        <f>BM68/52</f>
        <v>13917.73076923077</v>
      </c>
      <c r="BN69" s="1">
        <f>BN68/53</f>
        <v>4688.358490566037</v>
      </c>
      <c r="BO69" s="1">
        <f>BO68/54</f>
        <v>18930.074074074073</v>
      </c>
      <c r="BP69" s="1">
        <f>BP68/54</f>
        <v>23175</v>
      </c>
      <c r="BQ69" s="1">
        <f>BQ68/55</f>
        <v>13677.527272727273</v>
      </c>
      <c r="BR69" s="1">
        <f>BR68/55</f>
        <v>9393.8</v>
      </c>
      <c r="BS69" s="1">
        <f>BS68/59</f>
        <v>44095.42372881356</v>
      </c>
      <c r="BT69" s="1">
        <f>BT68/59</f>
        <v>15126.745762711864</v>
      </c>
      <c r="BU69" s="1">
        <f>BU68/60</f>
        <v>16198.383333333333</v>
      </c>
      <c r="BV69" s="1">
        <f>BV68/60</f>
        <v>2375.9166666666665</v>
      </c>
      <c r="BW69" s="1">
        <f>BW68/60</f>
        <v>22947.816666666666</v>
      </c>
      <c r="BX69" s="1">
        <f>BX68/62</f>
        <v>9554.258064516129</v>
      </c>
      <c r="BY69" s="1">
        <f>BY68/62</f>
        <v>34210.790322580644</v>
      </c>
      <c r="BZ69" s="1">
        <f>BZ68/63</f>
        <v>13843.52380952381</v>
      </c>
      <c r="CA69" s="1">
        <f>CA68/64</f>
        <v>14740.46875</v>
      </c>
      <c r="CB69" s="1">
        <f>CB68/66</f>
        <v>13216</v>
      </c>
      <c r="CC69" s="1">
        <f>CC68/66</f>
        <v>-1153.3939393939395</v>
      </c>
      <c r="CD69" s="1">
        <f>CD68/67</f>
        <v>3028.791044776119</v>
      </c>
      <c r="CE69" s="1">
        <f>CE68/67</f>
        <v>2290.9402985074626</v>
      </c>
      <c r="CF69" s="1">
        <f>CF68/69</f>
        <v>13488.028985507246</v>
      </c>
      <c r="CG69" s="1">
        <f>CG68/70</f>
        <v>16633.614285714284</v>
      </c>
      <c r="CH69" s="1">
        <f>CH68/70</f>
        <v>1517.5142857142857</v>
      </c>
      <c r="CI69" s="1">
        <f>CI68/70</f>
        <v>13507.857142857143</v>
      </c>
      <c r="CJ69" s="1">
        <f>CJ68/72</f>
        <v>13373</v>
      </c>
      <c r="CK69" s="1">
        <f>CK68/72</f>
        <v>15106</v>
      </c>
      <c r="CL69" s="1">
        <f>CL68/74</f>
        <v>7630.6621621621625</v>
      </c>
      <c r="CM69" s="1">
        <f>CM68/75</f>
        <v>10652.36</v>
      </c>
      <c r="CN69" s="1">
        <f>CN68/75</f>
        <v>12936.72</v>
      </c>
      <c r="CO69" s="1">
        <f>CO68/75</f>
        <v>47715.12</v>
      </c>
      <c r="CP69" s="1">
        <f>CP68/76</f>
        <v>43522.59210526316</v>
      </c>
      <c r="CQ69" s="1">
        <f>CQ68/77</f>
        <v>4024.4675324675327</v>
      </c>
      <c r="CR69" s="1">
        <f>CR68/77</f>
        <v>44771.94805194805</v>
      </c>
      <c r="CS69" s="1">
        <f>CS68/78</f>
        <v>4579.089743589743</v>
      </c>
      <c r="CT69" s="1">
        <f>CT68/81</f>
        <v>11078.222222222223</v>
      </c>
      <c r="CU69" s="1">
        <f>CU68/81</f>
        <v>106354.72839506173</v>
      </c>
      <c r="CV69" s="1">
        <f>CV68/82</f>
        <v>10219.060975609756</v>
      </c>
      <c r="CW69" s="1">
        <f>CW68/83</f>
        <v>25618.626506024095</v>
      </c>
      <c r="CX69" s="41">
        <f>CX68/84</f>
        <v>7760.369047619048</v>
      </c>
      <c r="CY69" s="1">
        <f>CY68/87</f>
        <v>3478.862068965517</v>
      </c>
      <c r="CZ69" s="1">
        <f>CZ68/90</f>
        <v>32461.133333333335</v>
      </c>
      <c r="DA69" s="1">
        <f>DA68/91</f>
        <v>51045.43956043956</v>
      </c>
      <c r="DB69" s="1">
        <f>DB68/91</f>
        <v>11537.186813186812</v>
      </c>
      <c r="DC69" s="1">
        <f>DC68/91</f>
        <v>5315.593406593406</v>
      </c>
      <c r="DD69" s="1">
        <f>DD68/92</f>
        <v>30470.119565217392</v>
      </c>
      <c r="DE69" s="1">
        <f>DE68/92</f>
        <v>15630.717391304348</v>
      </c>
      <c r="DF69" s="1">
        <f>DF68/93</f>
        <v>3974.032258064516</v>
      </c>
      <c r="DG69" s="1">
        <f>DG68/93</f>
        <v>4892.322580645161</v>
      </c>
      <c r="DH69" s="1">
        <f>DH68/93</f>
        <v>7867.709677419355</v>
      </c>
      <c r="DI69" s="1">
        <f>DI68/95</f>
        <v>13186.368421052632</v>
      </c>
      <c r="DJ69" s="1">
        <f>DJ68/96</f>
        <v>14892.302083333334</v>
      </c>
      <c r="DK69" s="1">
        <f>DK68/98</f>
        <v>14753.867346938776</v>
      </c>
      <c r="DL69" s="1">
        <f>DL68/98</f>
        <v>41978.4693877551</v>
      </c>
      <c r="DM69" s="1">
        <f>DM68/98</f>
        <v>24060.01020408163</v>
      </c>
      <c r="DN69" s="1">
        <f>DN68/101</f>
        <v>5910.207920792079</v>
      </c>
      <c r="DO69" s="1">
        <f>DO68/102</f>
        <v>978.8039215686274</v>
      </c>
      <c r="DP69" s="1">
        <f>DP68/102</f>
        <v>17582.147058823528</v>
      </c>
      <c r="DQ69" s="1">
        <f>DQ68/103</f>
        <v>7289.553398058252</v>
      </c>
      <c r="DR69" s="1">
        <f>DR68/103</f>
        <v>11554.815533980582</v>
      </c>
      <c r="DS69" s="1">
        <f>DS68/104</f>
        <v>17232.096153846152</v>
      </c>
      <c r="DT69" s="1">
        <f>DT68/108</f>
        <v>14483.222222222223</v>
      </c>
      <c r="DU69" s="1">
        <f>DU68/109</f>
        <v>3217.0091743119265</v>
      </c>
      <c r="DV69" s="1">
        <f>DV68/108</f>
        <v>3525.3333333333335</v>
      </c>
      <c r="DW69" s="1">
        <f>DW68/114</f>
        <v>2500.3333333333335</v>
      </c>
      <c r="DX69" s="1">
        <f>DX68/115</f>
        <v>52741.69565217391</v>
      </c>
      <c r="DY69" s="1">
        <f>DY68/119</f>
        <v>6172.378151260505</v>
      </c>
      <c r="DZ69" s="1">
        <f>DZ68/121</f>
        <v>16505.652892561982</v>
      </c>
      <c r="EA69" s="1">
        <f>EA68/124</f>
        <v>8415.677419354839</v>
      </c>
      <c r="EB69" s="1">
        <f>EB68/127</f>
        <v>983.9606299212599</v>
      </c>
      <c r="EC69" s="1">
        <f>EC68/129</f>
        <v>5187.356589147287</v>
      </c>
      <c r="ED69" s="1">
        <f>ED68/129</f>
        <v>6595.069767441861</v>
      </c>
      <c r="EE69" s="1">
        <f>EE68/130</f>
        <v>941.9384615384615</v>
      </c>
      <c r="EF69" s="1">
        <f>EF68/131</f>
        <v>27911.641221374044</v>
      </c>
      <c r="EG69" s="1">
        <f>EG68/132</f>
        <v>13190.174242424242</v>
      </c>
      <c r="EH69" s="1">
        <f>EH68/134</f>
        <v>10587.873134328358</v>
      </c>
      <c r="EI69" s="1">
        <f>EI68/135</f>
        <v>11659.325925925927</v>
      </c>
      <c r="EJ69" s="1">
        <f>EJ68/137</f>
        <v>5984.029197080292</v>
      </c>
      <c r="EK69" s="1">
        <f>EK68/138</f>
        <v>56645.63043478261</v>
      </c>
      <c r="EL69" s="1">
        <f>EL68/142</f>
        <v>5687.718309859155</v>
      </c>
      <c r="EM69" s="1">
        <f>EM68/145</f>
        <v>10209.296551724137</v>
      </c>
      <c r="EN69" s="1">
        <f>EN68/146</f>
        <v>4935.184931506849</v>
      </c>
      <c r="EO69" s="1">
        <f>EO68/146</f>
        <v>5690</v>
      </c>
      <c r="EP69" s="1">
        <f>EP68/149</f>
        <v>20181.543624161073</v>
      </c>
      <c r="EQ69" s="1">
        <f>EQ68/157</f>
        <v>2498.0891719745223</v>
      </c>
      <c r="ER69" s="1">
        <f>ER68/162</f>
        <v>25050.777777777777</v>
      </c>
      <c r="ES69" s="1">
        <f>ES68/165</f>
        <v>9922.4</v>
      </c>
      <c r="ET69" s="1">
        <f>ET68/166</f>
        <v>14553.481927710844</v>
      </c>
      <c r="EU69" s="1">
        <f>EU68/166</f>
        <v>9590.915662650603</v>
      </c>
      <c r="EV69" s="18">
        <f>EV68/172</f>
        <v>4249.604651162791</v>
      </c>
      <c r="EW69" s="1">
        <f>EW68/182</f>
        <v>7678.0329670329675</v>
      </c>
      <c r="EX69" s="1">
        <f>EX68/186</f>
        <v>7565.5053763440865</v>
      </c>
      <c r="EY69" s="1">
        <f>EY68/189</f>
        <v>9848.666666666666</v>
      </c>
      <c r="EZ69" s="1">
        <f>EZ68/191</f>
        <v>7104.387434554974</v>
      </c>
      <c r="FA69" s="1">
        <f>FA68/192</f>
        <v>1072.390625</v>
      </c>
      <c r="FB69" s="1">
        <f>FB68/196</f>
        <v>7484.091836734694</v>
      </c>
      <c r="FC69" s="1">
        <f>FC68/204</f>
        <v>6835.7107843137255</v>
      </c>
      <c r="FD69" s="1">
        <f>FD68/205</f>
        <v>7186.5707317073175</v>
      </c>
      <c r="FE69" s="1">
        <f>FE68/205</f>
        <v>11642.253658536585</v>
      </c>
      <c r="FF69" s="1">
        <f>FF68/216</f>
        <v>12988.638888888889</v>
      </c>
      <c r="FG69" s="1">
        <f>FG68/219</f>
        <v>6891.986301369863</v>
      </c>
      <c r="FH69" s="1">
        <f>FH68/220</f>
        <v>19225.5</v>
      </c>
      <c r="FI69" s="1">
        <f>FI68/234</f>
        <v>11713.538461538461</v>
      </c>
      <c r="FJ69" s="1">
        <f>FJ68/239</f>
        <v>2073.6192468619247</v>
      </c>
      <c r="FK69" s="1">
        <f>FK68/242</f>
        <v>5528.028925619835</v>
      </c>
      <c r="FL69" s="1">
        <f>FL68/242</f>
        <v>8176.0413223140495</v>
      </c>
      <c r="FM69" s="1">
        <f>FM68/248</f>
        <v>7271.3588709677415</v>
      </c>
      <c r="FN69" s="1">
        <f>FN68/249</f>
        <v>10096.413654618475</v>
      </c>
      <c r="FO69" s="1">
        <f>FO68/257</f>
        <v>13380.568093385215</v>
      </c>
      <c r="FP69" s="1">
        <f>FP68/261</f>
        <v>8947.586206896553</v>
      </c>
      <c r="FQ69" s="1">
        <f>FQ68/261</f>
        <v>10240.639846743295</v>
      </c>
      <c r="FR69" s="1">
        <f>FR68/262</f>
        <v>10935.553435114503</v>
      </c>
      <c r="FS69" s="1">
        <f>FS68/283</f>
        <v>16800.48409893993</v>
      </c>
      <c r="FT69" s="1">
        <f>FT68/287</f>
        <v>3278.383275261324</v>
      </c>
      <c r="FU69" s="41">
        <f>FU68/287</f>
        <v>5385.390243902439</v>
      </c>
      <c r="FV69" s="41">
        <f>FV68/290</f>
        <v>3520.2655172413793</v>
      </c>
      <c r="FW69" s="1">
        <f>FW68/294</f>
        <v>5194.843537414966</v>
      </c>
      <c r="FX69" s="1">
        <f>FX68/309</f>
        <v>32996.63106796116</v>
      </c>
      <c r="FY69" s="1">
        <f>FY68/310</f>
        <v>1629.4387096774194</v>
      </c>
      <c r="FZ69" s="1">
        <f>FZ68/340</f>
        <v>7293.194117647059</v>
      </c>
      <c r="GA69" s="1">
        <f>GA68/348</f>
        <v>23080.117816091955</v>
      </c>
      <c r="GB69" s="1">
        <f>GB68/382</f>
        <v>8614.123036649215</v>
      </c>
      <c r="GC69" s="1">
        <f>GC68/400</f>
        <v>1946.7625</v>
      </c>
      <c r="GD69" s="1">
        <f>GD68/410</f>
        <v>11030.278048780488</v>
      </c>
      <c r="GE69" s="1">
        <f>GE68/410</f>
        <v>3698.9048780487806</v>
      </c>
      <c r="GF69" s="1">
        <f>GF68/414</f>
        <v>7818.623188405797</v>
      </c>
      <c r="GG69" s="1">
        <f>GG68/415</f>
        <v>14259.009638554217</v>
      </c>
      <c r="GH69" s="1">
        <f>GH68/420</f>
        <v>3366.885714285714</v>
      </c>
      <c r="GI69" s="1">
        <f>GI68/492</f>
        <v>6270.325203252032</v>
      </c>
      <c r="GJ69" s="18">
        <f>GJ68/493</f>
        <v>11083.632860040569</v>
      </c>
      <c r="GK69" s="1">
        <f>GK68/493</f>
        <v>308.2129817444219</v>
      </c>
      <c r="GL69" s="1">
        <f>GL68/550</f>
        <v>7234.950909090909</v>
      </c>
      <c r="GM69" s="1">
        <f>GM68/552</f>
        <v>7934.702898550725</v>
      </c>
      <c r="GN69" s="1">
        <f>GN68/587</f>
        <v>28826.095400340717</v>
      </c>
      <c r="GO69" s="1">
        <f>GO68/628</f>
        <v>5774.8057324840765</v>
      </c>
      <c r="GP69" s="1">
        <f>GP68/645</f>
        <v>4003.4372093023258</v>
      </c>
    </row>
    <row r="70" spans="1:19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21"/>
      <c r="BC70" s="21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49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1"/>
      <c r="DK70" s="1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21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49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21"/>
      <c r="GK70" s="3"/>
      <c r="GL70" s="3"/>
      <c r="GM70" s="3"/>
      <c r="GN70" s="3"/>
      <c r="GO70" s="3"/>
      <c r="GP70" s="3"/>
    </row>
    <row r="71" spans="34:192" s="3" customFormat="1" ht="15">
      <c r="AH71" s="1"/>
      <c r="BB71" s="21"/>
      <c r="BC71" s="21"/>
      <c r="CQ71" s="3" t="s">
        <v>50</v>
      </c>
      <c r="CX71" s="49"/>
      <c r="DI71" s="3" t="s">
        <v>50</v>
      </c>
      <c r="DJ71" s="1"/>
      <c r="DK71" s="1"/>
      <c r="DR71" s="1"/>
      <c r="DS71" s="1"/>
      <c r="EM71" s="1" t="s">
        <v>50</v>
      </c>
      <c r="EV71" s="21"/>
      <c r="FB71" s="1"/>
      <c r="FM71" s="1"/>
      <c r="FR71" s="1" t="s">
        <v>50</v>
      </c>
      <c r="FU71" s="41"/>
      <c r="FV71" s="49"/>
      <c r="GJ71" s="21"/>
    </row>
    <row r="72" spans="54:196" s="3" customFormat="1" ht="15">
      <c r="BB72" s="21"/>
      <c r="BC72" s="21"/>
      <c r="BP72" s="1"/>
      <c r="CX72" s="49"/>
      <c r="DE72" s="1"/>
      <c r="DF72" s="1"/>
      <c r="DJ72" s="1"/>
      <c r="DK72" s="1"/>
      <c r="EM72" s="3">
        <v>49867</v>
      </c>
      <c r="EV72" s="21"/>
      <c r="FV72" s="49"/>
      <c r="GJ72" s="21"/>
      <c r="GM72" s="3">
        <v>663856</v>
      </c>
      <c r="GN72" s="3">
        <v>290420</v>
      </c>
    </row>
    <row r="73" spans="54:195" s="3" customFormat="1" ht="15">
      <c r="BB73" s="21"/>
      <c r="BC73" s="21"/>
      <c r="CX73" s="49"/>
      <c r="DJ73" s="1"/>
      <c r="DK73" s="1"/>
      <c r="EM73" s="3">
        <v>-72416</v>
      </c>
      <c r="EV73" s="21"/>
      <c r="FV73" s="49"/>
      <c r="GJ73" s="21"/>
      <c r="GM73" s="3">
        <v>-657678</v>
      </c>
    </row>
    <row r="74" spans="54:195" s="3" customFormat="1" ht="15">
      <c r="BB74" s="21"/>
      <c r="BC74" s="21"/>
      <c r="CX74" s="49"/>
      <c r="DJ74" s="1"/>
      <c r="DK74" s="1"/>
      <c r="EM74" s="3">
        <f>SUM(EM72:EM73)</f>
        <v>-22549</v>
      </c>
      <c r="EV74" s="21"/>
      <c r="FV74" s="49"/>
      <c r="GJ74" s="21"/>
      <c r="GM74" s="3">
        <f>SUM(GM72:GM73)</f>
        <v>6178</v>
      </c>
    </row>
    <row r="75" spans="54:192" s="3" customFormat="1" ht="15">
      <c r="BB75" s="21"/>
      <c r="BC75" s="21"/>
      <c r="CX75" s="49"/>
      <c r="DJ75" s="1"/>
      <c r="DK75" s="1"/>
      <c r="EV75" s="21"/>
      <c r="FV75" s="49"/>
      <c r="GJ75" s="21"/>
    </row>
    <row r="76" spans="54:192" s="3" customFormat="1" ht="15.75">
      <c r="BB76" s="21"/>
      <c r="BC76" s="21"/>
      <c r="CX76" s="49"/>
      <c r="DJ76" s="1"/>
      <c r="DK76" s="1"/>
      <c r="EV76" s="21"/>
      <c r="FV76" s="49"/>
      <c r="GJ76" s="21"/>
    </row>
    <row r="77" spans="54:192" s="3" customFormat="1" ht="15.75">
      <c r="BB77" s="21"/>
      <c r="BC77" s="21"/>
      <c r="CX77" s="49"/>
      <c r="DJ77" s="1"/>
      <c r="DK77" s="1"/>
      <c r="EV77" s="21"/>
      <c r="FV77" s="49"/>
      <c r="GJ77" s="21"/>
    </row>
    <row r="78" spans="54:192" s="3" customFormat="1" ht="15.75">
      <c r="BB78" s="21"/>
      <c r="BC78" s="21"/>
      <c r="CX78" s="49"/>
      <c r="DJ78" s="1"/>
      <c r="DK78" s="1"/>
      <c r="EV78" s="21"/>
      <c r="FV78" s="49"/>
      <c r="GJ78" s="21"/>
    </row>
    <row r="79" spans="54:192" s="3" customFormat="1" ht="15.75">
      <c r="BB79" s="21"/>
      <c r="BC79" s="21"/>
      <c r="CX79" s="49"/>
      <c r="DJ79" s="1"/>
      <c r="DK79" s="1"/>
      <c r="EV79" s="21"/>
      <c r="FV79" s="49"/>
      <c r="GJ79" s="21"/>
    </row>
    <row r="80" spans="54:192" s="3" customFormat="1" ht="15.75">
      <c r="BB80" s="21"/>
      <c r="BC80" s="21"/>
      <c r="CX80" s="49"/>
      <c r="DJ80" s="1"/>
      <c r="DK80" s="1"/>
      <c r="EV80" s="21"/>
      <c r="FV80" s="49"/>
      <c r="GJ80" s="21"/>
    </row>
    <row r="81" spans="54:192" s="3" customFormat="1" ht="15.75">
      <c r="BB81" s="21"/>
      <c r="BC81" s="21"/>
      <c r="CX81" s="49"/>
      <c r="DJ81" s="1"/>
      <c r="DK81" s="1"/>
      <c r="EV81" s="21"/>
      <c r="FV81" s="49"/>
      <c r="GJ81" s="21"/>
    </row>
    <row r="82" spans="54:192" s="3" customFormat="1" ht="15.75">
      <c r="BB82" s="21"/>
      <c r="BC82" s="21"/>
      <c r="CX82" s="49"/>
      <c r="DJ82" s="1"/>
      <c r="DK82" s="1"/>
      <c r="EV82" s="21"/>
      <c r="FV82" s="49"/>
      <c r="GJ82" s="21"/>
    </row>
    <row r="83" spans="54:192" s="3" customFormat="1" ht="15.75">
      <c r="BB83" s="21"/>
      <c r="BC83" s="21"/>
      <c r="CX83" s="49"/>
      <c r="DJ83" s="1"/>
      <c r="DK83" s="1"/>
      <c r="EV83" s="21"/>
      <c r="FV83" s="49"/>
      <c r="GJ83" s="21"/>
    </row>
    <row r="84" spans="54:192" s="3" customFormat="1" ht="15.75">
      <c r="BB84" s="21"/>
      <c r="BC84" s="21"/>
      <c r="CX84" s="49"/>
      <c r="DJ84" s="1"/>
      <c r="DK84" s="1"/>
      <c r="EV84" s="21"/>
      <c r="FV84" s="49"/>
      <c r="GJ84" s="21"/>
    </row>
    <row r="85" spans="54:192" s="3" customFormat="1" ht="15.75">
      <c r="BB85" s="21"/>
      <c r="BC85" s="21"/>
      <c r="CX85" s="49"/>
      <c r="DJ85" s="1"/>
      <c r="DK85" s="1"/>
      <c r="EV85" s="21"/>
      <c r="FV85" s="49"/>
      <c r="GJ85" s="21"/>
    </row>
    <row r="86" spans="54:192" s="3" customFormat="1" ht="15.75">
      <c r="BB86" s="21"/>
      <c r="BC86" s="21"/>
      <c r="CX86" s="49"/>
      <c r="DJ86" s="1"/>
      <c r="DK86" s="1"/>
      <c r="EV86" s="21"/>
      <c r="FV86" s="49"/>
      <c r="GJ86" s="21"/>
    </row>
    <row r="87" spans="54:192" s="3" customFormat="1" ht="15.75">
      <c r="BB87" s="21"/>
      <c r="BC87" s="21"/>
      <c r="CX87" s="49"/>
      <c r="DJ87" s="1"/>
      <c r="DK87" s="1"/>
      <c r="EV87" s="21"/>
      <c r="FV87" s="49"/>
      <c r="GJ87" s="21"/>
    </row>
    <row r="88" spans="54:192" s="3" customFormat="1" ht="15.75">
      <c r="BB88" s="21"/>
      <c r="BC88" s="21"/>
      <c r="CX88" s="49"/>
      <c r="DJ88" s="1"/>
      <c r="DK88" s="1"/>
      <c r="EV88" s="21"/>
      <c r="FV88" s="49"/>
      <c r="GJ88" s="21"/>
    </row>
    <row r="89" spans="54:192" s="3" customFormat="1" ht="15.75">
      <c r="BB89" s="21"/>
      <c r="BC89" s="21"/>
      <c r="CX89" s="49"/>
      <c r="DJ89" s="1"/>
      <c r="DK89" s="1"/>
      <c r="EV89" s="21"/>
      <c r="FV89" s="49"/>
      <c r="GJ89" s="21"/>
    </row>
    <row r="90" spans="54:192" s="3" customFormat="1" ht="15.75">
      <c r="BB90" s="21"/>
      <c r="BC90" s="21"/>
      <c r="CX90" s="49"/>
      <c r="DJ90" s="1"/>
      <c r="DK90" s="1"/>
      <c r="EV90" s="21"/>
      <c r="FV90" s="49"/>
      <c r="GJ90" s="21"/>
    </row>
    <row r="91" spans="54:192" s="3" customFormat="1" ht="15.75">
      <c r="BB91" s="21"/>
      <c r="BC91" s="21"/>
      <c r="CX91" s="49"/>
      <c r="DJ91" s="1"/>
      <c r="DK91" s="1"/>
      <c r="EV91" s="21"/>
      <c r="FV91" s="49"/>
      <c r="GJ91" s="21"/>
    </row>
    <row r="92" spans="54:192" s="3" customFormat="1" ht="15.75">
      <c r="BB92" s="21"/>
      <c r="BC92" s="21"/>
      <c r="CX92" s="49"/>
      <c r="DJ92" s="1"/>
      <c r="DK92" s="1"/>
      <c r="EV92" s="21"/>
      <c r="FV92" s="49"/>
      <c r="GJ92" s="21"/>
    </row>
    <row r="93" spans="54:192" s="3" customFormat="1" ht="15.75">
      <c r="BB93" s="21"/>
      <c r="BC93" s="21"/>
      <c r="CX93" s="49"/>
      <c r="DJ93" s="1"/>
      <c r="DK93" s="1"/>
      <c r="EV93" s="21"/>
      <c r="FV93" s="49"/>
      <c r="GJ93" s="21"/>
    </row>
    <row r="94" spans="54:192" s="3" customFormat="1" ht="15.75">
      <c r="BB94" s="21"/>
      <c r="BC94" s="21"/>
      <c r="CX94" s="49"/>
      <c r="DJ94" s="1"/>
      <c r="DK94" s="1"/>
      <c r="EV94" s="21"/>
      <c r="FV94" s="49"/>
      <c r="GJ94" s="21"/>
    </row>
    <row r="95" spans="54:192" s="3" customFormat="1" ht="15.75">
      <c r="BB95" s="21"/>
      <c r="BC95" s="21"/>
      <c r="CX95" s="49"/>
      <c r="DJ95" s="1"/>
      <c r="DK95" s="1"/>
      <c r="EV95" s="21"/>
      <c r="FV95" s="49"/>
      <c r="GJ95" s="21"/>
    </row>
    <row r="96" spans="54:192" s="3" customFormat="1" ht="15.75">
      <c r="BB96" s="21"/>
      <c r="BC96" s="21"/>
      <c r="CX96" s="49"/>
      <c r="DJ96" s="1"/>
      <c r="DK96" s="1"/>
      <c r="EV96" s="21"/>
      <c r="FV96" s="49"/>
      <c r="GJ96" s="21"/>
    </row>
    <row r="97" spans="54:192" s="3" customFormat="1" ht="15.75">
      <c r="BB97" s="21"/>
      <c r="BC97" s="21"/>
      <c r="CX97" s="49"/>
      <c r="DJ97" s="1"/>
      <c r="DK97" s="1"/>
      <c r="EV97" s="21"/>
      <c r="FV97" s="49"/>
      <c r="GJ97" s="21"/>
    </row>
    <row r="98" spans="54:192" s="3" customFormat="1" ht="15.75">
      <c r="BB98" s="21"/>
      <c r="BC98" s="21"/>
      <c r="CX98" s="49"/>
      <c r="DJ98" s="1"/>
      <c r="DK98" s="1"/>
      <c r="EV98" s="21"/>
      <c r="FV98" s="49"/>
      <c r="GJ98" s="21"/>
    </row>
    <row r="99" spans="54:192" s="3" customFormat="1" ht="15.75">
      <c r="BB99" s="21"/>
      <c r="BC99" s="21"/>
      <c r="CX99" s="49"/>
      <c r="DJ99" s="1"/>
      <c r="DK99" s="1"/>
      <c r="EV99" s="21"/>
      <c r="FV99" s="49"/>
      <c r="GJ99" s="21"/>
    </row>
    <row r="100" spans="54:192" s="3" customFormat="1" ht="15.75">
      <c r="BB100" s="21"/>
      <c r="BC100" s="21"/>
      <c r="CX100" s="49"/>
      <c r="DJ100" s="1"/>
      <c r="DK100" s="1"/>
      <c r="EV100" s="21"/>
      <c r="FV100" s="49"/>
      <c r="GJ100" s="21"/>
    </row>
    <row r="101" spans="54:192" s="3" customFormat="1" ht="15.75">
      <c r="BB101" s="21"/>
      <c r="BC101" s="21"/>
      <c r="CX101" s="49"/>
      <c r="DJ101" s="1"/>
      <c r="DK101" s="1"/>
      <c r="EV101" s="21"/>
      <c r="FV101" s="49"/>
      <c r="GJ101" s="21"/>
    </row>
    <row r="102" spans="54:192" s="3" customFormat="1" ht="15.75">
      <c r="BB102" s="21"/>
      <c r="BC102" s="21"/>
      <c r="CX102" s="49"/>
      <c r="DJ102" s="1"/>
      <c r="DK102" s="1"/>
      <c r="EV102" s="21"/>
      <c r="FV102" s="49"/>
      <c r="GJ102" s="21"/>
    </row>
    <row r="103" spans="54:192" s="3" customFormat="1" ht="15.75">
      <c r="BB103" s="21"/>
      <c r="BC103" s="21"/>
      <c r="CX103" s="49"/>
      <c r="DJ103" s="1"/>
      <c r="DK103" s="1"/>
      <c r="EV103" s="21"/>
      <c r="FV103" s="49"/>
      <c r="GJ103" s="21"/>
    </row>
    <row r="104" spans="54:192" s="3" customFormat="1" ht="15.75">
      <c r="BB104" s="21"/>
      <c r="BC104" s="21"/>
      <c r="CX104" s="49"/>
      <c r="DJ104" s="1"/>
      <c r="DK104" s="1"/>
      <c r="EV104" s="21"/>
      <c r="FV104" s="49"/>
      <c r="GJ104" s="21"/>
    </row>
    <row r="105" spans="54:192" s="3" customFormat="1" ht="15.75">
      <c r="BB105" s="21"/>
      <c r="BC105" s="21"/>
      <c r="CX105" s="49"/>
      <c r="DJ105" s="1"/>
      <c r="DK105" s="1"/>
      <c r="EV105" s="21"/>
      <c r="FV105" s="49"/>
      <c r="GJ105" s="21"/>
    </row>
    <row r="106" spans="54:192" s="3" customFormat="1" ht="15.75">
      <c r="BB106" s="21"/>
      <c r="BC106" s="21"/>
      <c r="CX106" s="49"/>
      <c r="DJ106" s="1"/>
      <c r="DK106" s="1"/>
      <c r="EV106" s="21"/>
      <c r="FV106" s="49"/>
      <c r="GJ106" s="21"/>
    </row>
    <row r="107" spans="54:192" s="3" customFormat="1" ht="15.75">
      <c r="BB107" s="21"/>
      <c r="BC107" s="21"/>
      <c r="CX107" s="49"/>
      <c r="DJ107" s="1"/>
      <c r="DK107" s="1"/>
      <c r="EV107" s="21"/>
      <c r="FV107" s="49"/>
      <c r="GJ107" s="21"/>
    </row>
    <row r="108" spans="54:192" s="3" customFormat="1" ht="15.75">
      <c r="BB108" s="21"/>
      <c r="BC108" s="21"/>
      <c r="CX108" s="49"/>
      <c r="DJ108" s="1"/>
      <c r="DK108" s="1"/>
      <c r="EV108" s="21"/>
      <c r="FV108" s="49"/>
      <c r="GJ108" s="21"/>
    </row>
    <row r="109" spans="54:192" s="3" customFormat="1" ht="15.75">
      <c r="BB109" s="21"/>
      <c r="BC109" s="21"/>
      <c r="CX109" s="49"/>
      <c r="DJ109" s="1"/>
      <c r="DK109" s="1"/>
      <c r="EV109" s="21"/>
      <c r="FV109" s="49"/>
      <c r="GJ109" s="21"/>
    </row>
    <row r="110" spans="54:192" s="3" customFormat="1" ht="15.75">
      <c r="BB110" s="21"/>
      <c r="BC110" s="21"/>
      <c r="CX110" s="49"/>
      <c r="DJ110" s="1"/>
      <c r="DK110" s="1"/>
      <c r="EV110" s="21"/>
      <c r="FV110" s="49"/>
      <c r="GJ110" s="21"/>
    </row>
  </sheetData>
  <sheetProtection/>
  <printOptions gridLines="1" horizontalCentered="1" verticalCentered="1"/>
  <pageMargins left="0.25" right="0.25" top="0.25" bottom="0.25" header="0" footer="0"/>
  <pageSetup fitToWidth="40" fitToHeight="1" horizontalDpi="600" verticalDpi="600" orientation="portrait" scale="71"/>
  <headerFooter alignWithMargins="0">
    <oddHeader>&amp;C&amp;"Arial,Bold"&amp;14
COOPERATIVE + CONDOMINIUM DATABASE - 2017</oddHeader>
    <oddFooter>&amp;C&amp;"Arial,Bold"&amp;14KLEIMAN + WEINSHANK, a division of WILKIN + GUTTENPLAN, P.C.
&amp;RPage &amp;P of &amp;N
</oddFooter>
  </headerFooter>
  <ignoredErrors>
    <ignoredError sqref="AI6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